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omments2.xml" ContentType="application/vnd.openxmlformats-officedocument.spreadsheetml.comment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omments3.xml" ContentType="application/vnd.openxmlformats-officedocument.spreadsheetml.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omments4.xml" ContentType="application/vnd.openxmlformats-officedocument.spreadsheetml.comments+xml"/>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omments5.xml" ContentType="application/vnd.openxmlformats-officedocument.spreadsheetml.comments+xml"/>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omments6.xml" ContentType="application/vnd.openxmlformats-officedocument.spreadsheetml.comments+xml"/>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ustomProperty93.bin" ContentType="application/vnd.openxmlformats-officedocument.spreadsheetml.customProperty"/>
  <Override PartName="/xl/comments7.xml" ContentType="application/vnd.openxmlformats-officedocument.spreadsheetml.comments+xml"/>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customProperty97.bin" ContentType="application/vnd.openxmlformats-officedocument.spreadsheetml.customProperty"/>
  <Override PartName="/xl/customProperty98.bin" ContentType="application/vnd.openxmlformats-officedocument.spreadsheetml.customProperty"/>
  <Override PartName="/xl/customProperty99.bin" ContentType="application/vnd.openxmlformats-officedocument.spreadsheetml.customProperty"/>
  <Override PartName="/xl/drawings/drawing1.xml" ContentType="application/vnd.openxmlformats-officedocument.drawing+xml"/>
  <Override PartName="/xl/comments8.xml" ContentType="application/vnd.openxmlformats-officedocument.spreadsheetml.comments+xml"/>
  <Override PartName="/xl/customProperty100.bin" ContentType="application/vnd.openxmlformats-officedocument.spreadsheetml.customProperty"/>
  <Override PartName="/xl/customProperty101.bin" ContentType="application/vnd.openxmlformats-officedocument.spreadsheetml.customProperty"/>
  <Override PartName="/xl/customProperty102.bin" ContentType="application/vnd.openxmlformats-officedocument.spreadsheetml.customProperty"/>
  <Override PartName="/xl/customProperty103.bin" ContentType="application/vnd.openxmlformats-officedocument.spreadsheetml.customProperty"/>
  <Override PartName="/xl/customProperty104.bin" ContentType="application/vnd.openxmlformats-officedocument.spreadsheetml.customProperty"/>
  <Override PartName="/xl/customProperty105.bin" ContentType="application/vnd.openxmlformats-officedocument.spreadsheetml.customProperty"/>
  <Override PartName="/xl/customProperty106.bin" ContentType="application/vnd.openxmlformats-officedocument.spreadsheetml.customProperty"/>
  <Override PartName="/xl/customProperty10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e13057\OneDrive - Buncombe County Government\Documents\Mountain Mobility Operations RFP\Addendum #1\"/>
    </mc:Choice>
  </mc:AlternateContent>
  <bookViews>
    <workbookView xWindow="0" yWindow="0" windowWidth="28800" windowHeight="12156" tabRatio="916"/>
  </bookViews>
  <sheets>
    <sheet name="Trips" sheetId="26" r:id="rId1"/>
    <sheet name="Miles" sheetId="27" r:id="rId2"/>
    <sheet name="3-Costs" sheetId="36" state="hidden" r:id="rId3"/>
    <sheet name="3a-Admin Surcharges" sheetId="42" state="hidden" r:id="rId4"/>
    <sheet name="3b-RM Report Data" sheetId="59" state="hidden" r:id="rId5"/>
    <sheet name="OpStatTotals(AllServices)" sheetId="56" r:id="rId6"/>
    <sheet name="4a-CT NCDOT OpStats Form" sheetId="61" state="hidden" r:id="rId7"/>
    <sheet name="OpStatsTotals(MBTrailblazers)" sheetId="47" r:id="rId8"/>
    <sheet name="7-ADA Monthly Service Rpt ART" sheetId="57" state="hidden" r:id="rId9"/>
    <sheet name="7a-ADA Services Evaluation" sheetId="62" state="hidden" r:id="rId10"/>
    <sheet name="7a-Urban OpStats Form" sheetId="60" state="hidden" r:id="rId11"/>
    <sheet name="COA Service Report Info" sheetId="21" state="hidden" r:id="rId12"/>
    <sheet name="OpStatsTotals(DR)" sheetId="52" r:id="rId13"/>
    <sheet name="TripComparisons" sheetId="18" r:id="rId14"/>
    <sheet name="SystemOverview" sheetId="32" r:id="rId15"/>
    <sheet name="ServiceAssessment" sheetId="22" r:id="rId16"/>
    <sheet name="11-Mo to Annual Op Stats Comp" sheetId="48" state="hidden" r:id="rId17"/>
    <sheet name="12-Qtrly CTAB Report" sheetId="39" state="hidden" r:id="rId18"/>
    <sheet name="NTDMonthlyRidership" sheetId="63" r:id="rId19"/>
    <sheet name="13_NTD_FinancialReport_Transfer" sheetId="64" state="hidden" r:id="rId20"/>
  </sheets>
  <externalReferences>
    <externalReference r:id="rId21"/>
  </externalReferences>
  <definedNames>
    <definedName name="_Fill" localSheetId="4" hidden="1">#REF!</definedName>
    <definedName name="_Fill" localSheetId="8" hidden="1">#REF!</definedName>
    <definedName name="_Fill" localSheetId="12" hidden="1">#REF!</definedName>
    <definedName name="_Fill" localSheetId="5" hidden="1">#REF!</definedName>
    <definedName name="_Fill" hidden="1">#REF!</definedName>
    <definedName name="_Order1" hidden="1">255</definedName>
    <definedName name="_Order2" hidden="1">0</definedName>
    <definedName name="inslist" localSheetId="3">[1]Tables!#REF!</definedName>
    <definedName name="inslist" localSheetId="4">[1]Tables!#REF!</definedName>
    <definedName name="inslist" localSheetId="2">[1]Tables!#REF!</definedName>
    <definedName name="inslist" localSheetId="8">[1]Tables!#REF!</definedName>
    <definedName name="inslist" localSheetId="12">[1]Tables!#REF!</definedName>
    <definedName name="inslist" localSheetId="7">[1]Tables!#REF!</definedName>
    <definedName name="inslist" localSheetId="5">[1]Tables!#REF!</definedName>
    <definedName name="inslist" localSheetId="14">[1]Tables!#REF!</definedName>
    <definedName name="inslist">[1]Tables!#REF!</definedName>
    <definedName name="_xlnm.Print_Area" localSheetId="16">'11-Mo to Annual Op Stats Comp'!$A$1:$N$34</definedName>
    <definedName name="_xlnm.Print_Area" localSheetId="17">'12-Qtrly CTAB Report'!$A$1:$P$57</definedName>
    <definedName name="_xlnm.Print_Area" localSheetId="3">'3a-Admin Surcharges'!$A$1:$R$47</definedName>
    <definedName name="_xlnm.Print_Area" localSheetId="4">'3b-RM Report Data'!$A$5:$CQ$112</definedName>
    <definedName name="_xlnm.Print_Area" localSheetId="2">'3-Costs'!$A$5:$BE$56</definedName>
    <definedName name="_xlnm.Print_Area" localSheetId="6">'4a-CT NCDOT OpStats Form'!$A$1:$U$128</definedName>
    <definedName name="_xlnm.Print_Area" localSheetId="8">'7-ADA Monthly Service Rpt ART'!$A$1:$S$45</definedName>
    <definedName name="_xlnm.Print_Area" localSheetId="1">Miles!$A$1:$O$28</definedName>
    <definedName name="_xlnm.Print_Area" localSheetId="12">'OpStatsTotals(DR)'!$A$2:$T$112</definedName>
    <definedName name="_xlnm.Print_Area" localSheetId="7">'OpStatsTotals(MBTrailblazers)'!$A$1:$T$154</definedName>
    <definedName name="_xlnm.Print_Area" localSheetId="5">'OpStatTotals(AllServices)'!$A$1:$T$67</definedName>
    <definedName name="_xlnm.Print_Area" localSheetId="15">ServiceAssessment!$A$1:$O$38</definedName>
    <definedName name="_xlnm.Print_Area" localSheetId="14">SystemOverview!$A$1:$N$52</definedName>
    <definedName name="_xlnm.Print_Area" localSheetId="13">TripComparisons!$A$1:$E$28</definedName>
    <definedName name="_xlnm.Print_Area" localSheetId="0">Trips!$A$1:$CR$30</definedName>
    <definedName name="Print_Area_MI" localSheetId="3">#REF!</definedName>
    <definedName name="Print_Area_MI" localSheetId="4">#REF!</definedName>
    <definedName name="Print_Area_MI" localSheetId="2">#REF!</definedName>
    <definedName name="Print_Area_MI" localSheetId="8">#REF!</definedName>
    <definedName name="Print_Area_MI" localSheetId="1">#REF!</definedName>
    <definedName name="Print_Area_MI" localSheetId="12">#REF!</definedName>
    <definedName name="Print_Area_MI" localSheetId="5">#REF!</definedName>
    <definedName name="Print_Area_MI" localSheetId="13">#REF!</definedName>
    <definedName name="Print_Area_MI" localSheetId="0">#REF!</definedName>
    <definedName name="Print_Area_MI">#REF!</definedName>
    <definedName name="_xlnm.Print_Titles" localSheetId="3">'3a-Admin Surcharges'!$6:$8</definedName>
    <definedName name="_xlnm.Print_Titles" localSheetId="4">'3b-RM Report Data'!$A:$C,'3b-RM Report Data'!$14:$16</definedName>
    <definedName name="_xlnm.Print_Titles" localSheetId="2">'3-Costs'!$B:$C,'3-Costs'!$10:$12</definedName>
    <definedName name="_xlnm.Print_Titles" localSheetId="1">Miles!$2:$4</definedName>
    <definedName name="_xlnm.Print_Titles" localSheetId="12">'OpStatsTotals(DR)'!$2:$2</definedName>
    <definedName name="_xlnm.Print_Titles" localSheetId="7">'OpStatsTotals(MBTrailblazers)'!$1:$2</definedName>
    <definedName name="_xlnm.Print_Titles" localSheetId="5">'OpStatTotals(AllServices)'!$1:$2</definedName>
    <definedName name="_xlnm.Print_Titles" localSheetId="0">Trips!$A:$B,Trips!$3:$4</definedName>
  </definedNames>
  <calcPr calcId="162913"/>
</workbook>
</file>

<file path=xl/calcChain.xml><?xml version="1.0" encoding="utf-8"?>
<calcChain xmlns="http://schemas.openxmlformats.org/spreadsheetml/2006/main">
  <c r="N20" i="32" l="1"/>
  <c r="O92" i="47"/>
  <c r="P92" i="47"/>
  <c r="Q92" i="47"/>
  <c r="R92" i="47"/>
  <c r="S92" i="47"/>
  <c r="O93" i="47"/>
  <c r="P93" i="47"/>
  <c r="Q93" i="47"/>
  <c r="R93" i="47"/>
  <c r="S93" i="47"/>
  <c r="T93" i="47" s="1"/>
  <c r="O94" i="47"/>
  <c r="P94" i="47"/>
  <c r="Q94" i="47"/>
  <c r="R94" i="47"/>
  <c r="S94" i="47"/>
  <c r="T94" i="47" s="1"/>
  <c r="S95" i="47"/>
  <c r="S98" i="47" s="1"/>
  <c r="S96" i="47"/>
  <c r="S97" i="47"/>
  <c r="C98" i="47"/>
  <c r="D98" i="47"/>
  <c r="E98" i="47"/>
  <c r="F98" i="47"/>
  <c r="G98" i="47"/>
  <c r="H98" i="47"/>
  <c r="I98" i="47"/>
  <c r="J98" i="47"/>
  <c r="K98" i="47"/>
  <c r="L98" i="47"/>
  <c r="M98" i="47"/>
  <c r="N98" i="47"/>
  <c r="O98" i="47"/>
  <c r="P98" i="47"/>
  <c r="Q98" i="47"/>
  <c r="R98" i="47"/>
  <c r="S99" i="47"/>
  <c r="S100" i="47"/>
  <c r="S101" i="47"/>
  <c r="C102" i="47"/>
  <c r="D102" i="47"/>
  <c r="E102" i="47"/>
  <c r="F102" i="47"/>
  <c r="G102" i="47"/>
  <c r="H102" i="47"/>
  <c r="I102" i="47"/>
  <c r="J102" i="47"/>
  <c r="K102" i="47"/>
  <c r="L102" i="47"/>
  <c r="M102" i="47"/>
  <c r="N102" i="47"/>
  <c r="O102" i="47"/>
  <c r="P102" i="47"/>
  <c r="Q102" i="47"/>
  <c r="R102" i="47"/>
  <c r="S103" i="47"/>
  <c r="S104" i="47"/>
  <c r="S105" i="47"/>
  <c r="C106" i="47"/>
  <c r="D106" i="47"/>
  <c r="D120" i="47" s="1"/>
  <c r="E106" i="47"/>
  <c r="F106" i="47"/>
  <c r="G106" i="47"/>
  <c r="H106" i="47"/>
  <c r="I106" i="47"/>
  <c r="J106" i="47"/>
  <c r="K106" i="47"/>
  <c r="L106" i="47"/>
  <c r="L120" i="47" s="1"/>
  <c r="M106" i="47"/>
  <c r="N106" i="47"/>
  <c r="O106" i="47"/>
  <c r="P106" i="47"/>
  <c r="Q106" i="47"/>
  <c r="R106" i="47"/>
  <c r="S107" i="47"/>
  <c r="S108" i="47"/>
  <c r="S110" i="47" s="1"/>
  <c r="T110" i="47" s="1"/>
  <c r="S109" i="47"/>
  <c r="C110" i="47"/>
  <c r="D110" i="47"/>
  <c r="D121" i="47" s="1"/>
  <c r="E110" i="47"/>
  <c r="F110" i="47"/>
  <c r="G110" i="47"/>
  <c r="H110" i="47"/>
  <c r="H121" i="47" s="1"/>
  <c r="I110" i="47"/>
  <c r="J110" i="47"/>
  <c r="K110" i="47"/>
  <c r="L110" i="47"/>
  <c r="M110" i="47"/>
  <c r="N110" i="47"/>
  <c r="O110" i="47"/>
  <c r="P110" i="47"/>
  <c r="P121" i="47" s="1"/>
  <c r="Q110" i="47"/>
  <c r="R110" i="47"/>
  <c r="S111" i="47"/>
  <c r="S112" i="47"/>
  <c r="S113" i="47"/>
  <c r="C114" i="47"/>
  <c r="D114" i="47"/>
  <c r="E114" i="47"/>
  <c r="F114" i="47"/>
  <c r="G114" i="47"/>
  <c r="H114" i="47"/>
  <c r="I114" i="47"/>
  <c r="J114" i="47"/>
  <c r="K114" i="47"/>
  <c r="L114" i="47"/>
  <c r="M114" i="47"/>
  <c r="N114" i="47"/>
  <c r="O114" i="47"/>
  <c r="P114" i="47"/>
  <c r="Q114" i="47"/>
  <c r="R114" i="47"/>
  <c r="S115" i="47"/>
  <c r="S116" i="47"/>
  <c r="S117" i="47"/>
  <c r="C118" i="47"/>
  <c r="D118" i="47"/>
  <c r="E118" i="47"/>
  <c r="F118" i="47"/>
  <c r="G118" i="47"/>
  <c r="H118" i="47"/>
  <c r="I118" i="47"/>
  <c r="J118" i="47"/>
  <c r="K118" i="47"/>
  <c r="L118" i="47"/>
  <c r="M118" i="47"/>
  <c r="N118" i="47"/>
  <c r="O118" i="47"/>
  <c r="P118" i="47"/>
  <c r="Q118" i="47"/>
  <c r="R118" i="47"/>
  <c r="C120" i="47"/>
  <c r="G120" i="47"/>
  <c r="K120" i="47"/>
  <c r="F121" i="47"/>
  <c r="L121" i="47"/>
  <c r="N121" i="47"/>
  <c r="N56" i="27"/>
  <c r="M56" i="27"/>
  <c r="L56" i="27"/>
  <c r="K56" i="27"/>
  <c r="J56" i="27"/>
  <c r="H56" i="27"/>
  <c r="G56" i="27"/>
  <c r="F56" i="27"/>
  <c r="D56" i="27"/>
  <c r="C55" i="27"/>
  <c r="O55" i="27" s="1"/>
  <c r="O54" i="27"/>
  <c r="O53" i="27"/>
  <c r="O52" i="27"/>
  <c r="O51" i="27"/>
  <c r="O50" i="27"/>
  <c r="O49" i="27"/>
  <c r="E48" i="27"/>
  <c r="E56" i="27" s="1"/>
  <c r="C48" i="27"/>
  <c r="O47" i="27"/>
  <c r="O46" i="27"/>
  <c r="O45" i="27"/>
  <c r="O44" i="27"/>
  <c r="O43" i="27"/>
  <c r="O42" i="27"/>
  <c r="O41" i="27"/>
  <c r="O40" i="27"/>
  <c r="O39" i="27"/>
  <c r="O38" i="27"/>
  <c r="O37" i="27"/>
  <c r="O36" i="27"/>
  <c r="I35" i="27"/>
  <c r="I56" i="27" s="1"/>
  <c r="O34" i="27"/>
  <c r="O33" i="27"/>
  <c r="CF54" i="26"/>
  <c r="CE54" i="26"/>
  <c r="CD54" i="26"/>
  <c r="CC54" i="26"/>
  <c r="BY54" i="26"/>
  <c r="BX54" i="26"/>
  <c r="BW54" i="26"/>
  <c r="BV54" i="26"/>
  <c r="BR54" i="26"/>
  <c r="BQ54" i="26"/>
  <c r="BP54" i="26"/>
  <c r="BO54" i="26"/>
  <c r="BK54" i="26"/>
  <c r="BJ54" i="26"/>
  <c r="BI54" i="26"/>
  <c r="BH54" i="26"/>
  <c r="BD54" i="26"/>
  <c r="BC54" i="26"/>
  <c r="BB54" i="26"/>
  <c r="BA54" i="26"/>
  <c r="AW54" i="26"/>
  <c r="AV54" i="26"/>
  <c r="AU54" i="26"/>
  <c r="AP54" i="26"/>
  <c r="AO54" i="26"/>
  <c r="AN54" i="26"/>
  <c r="AM54" i="26"/>
  <c r="AI54" i="26"/>
  <c r="AH54" i="26"/>
  <c r="AG54" i="26"/>
  <c r="AF54" i="26"/>
  <c r="AB54" i="26"/>
  <c r="AA54" i="26"/>
  <c r="Z54" i="26"/>
  <c r="Y54" i="26"/>
  <c r="U54" i="26"/>
  <c r="T54" i="26"/>
  <c r="S54" i="26"/>
  <c r="R54" i="26"/>
  <c r="N54" i="26"/>
  <c r="M54" i="26"/>
  <c r="L54" i="26"/>
  <c r="K54" i="26"/>
  <c r="G54" i="26"/>
  <c r="F54" i="26"/>
  <c r="E54" i="26"/>
  <c r="CM53" i="26"/>
  <c r="CL53" i="26"/>
  <c r="CK53" i="26"/>
  <c r="CH53" i="26"/>
  <c r="CG53" i="26"/>
  <c r="CA53" i="26"/>
  <c r="BZ53" i="26"/>
  <c r="BT53" i="26"/>
  <c r="BS53" i="26"/>
  <c r="BM53" i="26"/>
  <c r="BL53" i="26"/>
  <c r="BF53" i="26"/>
  <c r="BE53" i="26"/>
  <c r="AY53" i="26"/>
  <c r="AX53" i="26"/>
  <c r="AR53" i="26"/>
  <c r="AQ53" i="26"/>
  <c r="AK53" i="26"/>
  <c r="AJ53" i="26"/>
  <c r="AD53" i="26"/>
  <c r="AC53" i="26"/>
  <c r="W53" i="26"/>
  <c r="V53" i="26"/>
  <c r="P53" i="26"/>
  <c r="O53" i="26"/>
  <c r="D53" i="26"/>
  <c r="I53" i="26" s="1"/>
  <c r="CM52" i="26"/>
  <c r="CL52" i="26"/>
  <c r="CK52" i="26"/>
  <c r="CJ52" i="26"/>
  <c r="CH52" i="26"/>
  <c r="CG52" i="26"/>
  <c r="CA52" i="26"/>
  <c r="BZ52" i="26"/>
  <c r="BT52" i="26"/>
  <c r="BS52" i="26"/>
  <c r="BM52" i="26"/>
  <c r="BL52" i="26"/>
  <c r="BF52" i="26"/>
  <c r="BE52" i="26"/>
  <c r="AY52" i="26"/>
  <c r="AX52" i="26"/>
  <c r="AR52" i="26"/>
  <c r="AQ52" i="26"/>
  <c r="AK52" i="26"/>
  <c r="AJ52" i="26"/>
  <c r="AD52" i="26"/>
  <c r="AC52" i="26"/>
  <c r="W52" i="26"/>
  <c r="V52" i="26"/>
  <c r="P52" i="26"/>
  <c r="O52" i="26"/>
  <c r="I52" i="26"/>
  <c r="H52" i="26"/>
  <c r="CM51" i="26"/>
  <c r="CL51" i="26"/>
  <c r="CK51" i="26"/>
  <c r="CJ51" i="26"/>
  <c r="CH51" i="26"/>
  <c r="CG51" i="26"/>
  <c r="CA51" i="26"/>
  <c r="BZ51" i="26"/>
  <c r="BT51" i="26"/>
  <c r="BS51" i="26"/>
  <c r="BM51" i="26"/>
  <c r="BL51" i="26"/>
  <c r="BF51" i="26"/>
  <c r="BE51" i="26"/>
  <c r="AY51" i="26"/>
  <c r="AX51" i="26"/>
  <c r="AR51" i="26"/>
  <c r="AQ51" i="26"/>
  <c r="AK51" i="26"/>
  <c r="AJ51" i="26"/>
  <c r="AD51" i="26"/>
  <c r="AC51" i="26"/>
  <c r="W51" i="26"/>
  <c r="V51" i="26"/>
  <c r="P51" i="26"/>
  <c r="O51" i="26"/>
  <c r="I51" i="26"/>
  <c r="H51" i="26"/>
  <c r="CM50" i="26"/>
  <c r="CL50" i="26"/>
  <c r="CK50" i="26"/>
  <c r="CJ50" i="26"/>
  <c r="CH50" i="26"/>
  <c r="CG50" i="26"/>
  <c r="CA50" i="26"/>
  <c r="BZ50" i="26"/>
  <c r="BT50" i="26"/>
  <c r="BS50" i="26"/>
  <c r="BM50" i="26"/>
  <c r="BL50" i="26"/>
  <c r="BF50" i="26"/>
  <c r="BE50" i="26"/>
  <c r="AY50" i="26"/>
  <c r="AX50" i="26"/>
  <c r="AR50" i="26"/>
  <c r="AQ50" i="26"/>
  <c r="AK50" i="26"/>
  <c r="AJ50" i="26"/>
  <c r="AD50" i="26"/>
  <c r="AC50" i="26"/>
  <c r="W50" i="26"/>
  <c r="V50" i="26"/>
  <c r="P50" i="26"/>
  <c r="O50" i="26"/>
  <c r="I50" i="26"/>
  <c r="H50" i="26"/>
  <c r="CM49" i="26"/>
  <c r="CL49" i="26"/>
  <c r="CK49" i="26"/>
  <c r="CJ49" i="26"/>
  <c r="CH49" i="26"/>
  <c r="CG49" i="26"/>
  <c r="CA49" i="26"/>
  <c r="BZ49" i="26"/>
  <c r="BT49" i="26"/>
  <c r="BS49" i="26"/>
  <c r="BM49" i="26"/>
  <c r="BL49" i="26"/>
  <c r="BF49" i="26"/>
  <c r="BE49" i="26"/>
  <c r="AY49" i="26"/>
  <c r="AX49" i="26"/>
  <c r="AR49" i="26"/>
  <c r="AQ49" i="26"/>
  <c r="AK49" i="26"/>
  <c r="AJ49" i="26"/>
  <c r="AD49" i="26"/>
  <c r="AC49" i="26"/>
  <c r="W49" i="26"/>
  <c r="V49" i="26"/>
  <c r="P49" i="26"/>
  <c r="O49" i="26"/>
  <c r="I49" i="26"/>
  <c r="H49" i="26"/>
  <c r="CM48" i="26"/>
  <c r="CL48" i="26"/>
  <c r="CK48" i="26"/>
  <c r="CJ48" i="26"/>
  <c r="CH48" i="26"/>
  <c r="CG48" i="26"/>
  <c r="CA48" i="26"/>
  <c r="BZ48" i="26"/>
  <c r="BT48" i="26"/>
  <c r="BS48" i="26"/>
  <c r="BM48" i="26"/>
  <c r="BL48" i="26"/>
  <c r="BF48" i="26"/>
  <c r="BE48" i="26"/>
  <c r="AY48" i="26"/>
  <c r="AX48" i="26"/>
  <c r="AR48" i="26"/>
  <c r="AQ48" i="26"/>
  <c r="AK48" i="26"/>
  <c r="AJ48" i="26"/>
  <c r="AD48" i="26"/>
  <c r="AC48" i="26"/>
  <c r="W48" i="26"/>
  <c r="V48" i="26"/>
  <c r="P48" i="26"/>
  <c r="O48" i="26"/>
  <c r="I48" i="26"/>
  <c r="H48" i="26"/>
  <c r="CM47" i="26"/>
  <c r="CL47" i="26"/>
  <c r="CK47" i="26"/>
  <c r="CJ47" i="26"/>
  <c r="CH47" i="26"/>
  <c r="CG47" i="26"/>
  <c r="CA47" i="26"/>
  <c r="BZ47" i="26"/>
  <c r="BT47" i="26"/>
  <c r="BS47" i="26"/>
  <c r="BM47" i="26"/>
  <c r="BL47" i="26"/>
  <c r="BF47" i="26"/>
  <c r="BE47" i="26"/>
  <c r="AY47" i="26"/>
  <c r="AX47" i="26"/>
  <c r="AR47" i="26"/>
  <c r="AQ47" i="26"/>
  <c r="AK47" i="26"/>
  <c r="AJ47" i="26"/>
  <c r="AD47" i="26"/>
  <c r="AC47" i="26"/>
  <c r="W47" i="26"/>
  <c r="V47" i="26"/>
  <c r="P47" i="26"/>
  <c r="O47" i="26"/>
  <c r="I47" i="26"/>
  <c r="H47" i="26"/>
  <c r="CM46" i="26"/>
  <c r="CL46" i="26"/>
  <c r="CK46" i="26"/>
  <c r="CH46" i="26"/>
  <c r="CG46" i="26"/>
  <c r="CA46" i="26"/>
  <c r="BZ46" i="26"/>
  <c r="BT46" i="26"/>
  <c r="BS46" i="26"/>
  <c r="BM46" i="26"/>
  <c r="BL46" i="26"/>
  <c r="BF46" i="26"/>
  <c r="BE46" i="26"/>
  <c r="AY46" i="26"/>
  <c r="AX46" i="26"/>
  <c r="AR46" i="26"/>
  <c r="AQ46" i="26"/>
  <c r="AK46" i="26"/>
  <c r="AJ46" i="26"/>
  <c r="AD46" i="26"/>
  <c r="AC46" i="26"/>
  <c r="W46" i="26"/>
  <c r="V46" i="26"/>
  <c r="P46" i="26"/>
  <c r="O46" i="26"/>
  <c r="D46" i="26"/>
  <c r="CM45" i="26"/>
  <c r="CL45" i="26"/>
  <c r="CK45" i="26"/>
  <c r="CJ45" i="26"/>
  <c r="CH45" i="26"/>
  <c r="CG45" i="26"/>
  <c r="CA45" i="26"/>
  <c r="BZ45" i="26"/>
  <c r="BT45" i="26"/>
  <c r="BS45" i="26"/>
  <c r="BM45" i="26"/>
  <c r="BL45" i="26"/>
  <c r="BF45" i="26"/>
  <c r="BE45" i="26"/>
  <c r="AY45" i="26"/>
  <c r="AX45" i="26"/>
  <c r="AR45" i="26"/>
  <c r="AQ45" i="26"/>
  <c r="AK45" i="26"/>
  <c r="AJ45" i="26"/>
  <c r="AD45" i="26"/>
  <c r="AC45" i="26"/>
  <c r="W45" i="26"/>
  <c r="V45" i="26"/>
  <c r="P45" i="26"/>
  <c r="O45" i="26"/>
  <c r="I45" i="26"/>
  <c r="H45" i="26"/>
  <c r="CM44" i="26"/>
  <c r="CL44" i="26"/>
  <c r="CK44" i="26"/>
  <c r="CJ44" i="26"/>
  <c r="CH44" i="26"/>
  <c r="CG44" i="26"/>
  <c r="CA44" i="26"/>
  <c r="BZ44" i="26"/>
  <c r="BT44" i="26"/>
  <c r="BS44" i="26"/>
  <c r="BM44" i="26"/>
  <c r="BL44" i="26"/>
  <c r="BF44" i="26"/>
  <c r="BE44" i="26"/>
  <c r="AY44" i="26"/>
  <c r="AX44" i="26"/>
  <c r="AR44" i="26"/>
  <c r="AQ44" i="26"/>
  <c r="AK44" i="26"/>
  <c r="AJ44" i="26"/>
  <c r="AD44" i="26"/>
  <c r="AC44" i="26"/>
  <c r="W44" i="26"/>
  <c r="V44" i="26"/>
  <c r="P44" i="26"/>
  <c r="O44" i="26"/>
  <c r="I44" i="26"/>
  <c r="H44" i="26"/>
  <c r="CM43" i="26"/>
  <c r="CL43" i="26"/>
  <c r="CK43" i="26"/>
  <c r="CJ43" i="26"/>
  <c r="CH43" i="26"/>
  <c r="CG43" i="26"/>
  <c r="CA43" i="26"/>
  <c r="BZ43" i="26"/>
  <c r="BT43" i="26"/>
  <c r="BS43" i="26"/>
  <c r="BM43" i="26"/>
  <c r="BL43" i="26"/>
  <c r="BF43" i="26"/>
  <c r="BE43" i="26"/>
  <c r="AY43" i="26"/>
  <c r="AX43" i="26"/>
  <c r="AR43" i="26"/>
  <c r="AQ43" i="26"/>
  <c r="AK43" i="26"/>
  <c r="AJ43" i="26"/>
  <c r="AD43" i="26"/>
  <c r="AC43" i="26"/>
  <c r="W43" i="26"/>
  <c r="V43" i="26"/>
  <c r="P43" i="26"/>
  <c r="O43" i="26"/>
  <c r="I43" i="26"/>
  <c r="H43" i="26"/>
  <c r="CM42" i="26"/>
  <c r="CL42" i="26"/>
  <c r="CK42" i="26"/>
  <c r="CJ42" i="26"/>
  <c r="CH42" i="26"/>
  <c r="CG42" i="26"/>
  <c r="CA42" i="26"/>
  <c r="BZ42" i="26"/>
  <c r="BT42" i="26"/>
  <c r="BS42" i="26"/>
  <c r="BM42" i="26"/>
  <c r="BL42" i="26"/>
  <c r="BF42" i="26"/>
  <c r="BE42" i="26"/>
  <c r="AY42" i="26"/>
  <c r="AX42" i="26"/>
  <c r="AR42" i="26"/>
  <c r="AQ42" i="26"/>
  <c r="AK42" i="26"/>
  <c r="AJ42" i="26"/>
  <c r="AD42" i="26"/>
  <c r="AC42" i="26"/>
  <c r="W42" i="26"/>
  <c r="V42" i="26"/>
  <c r="P42" i="26"/>
  <c r="O42" i="26"/>
  <c r="I42" i="26"/>
  <c r="H42" i="26"/>
  <c r="CM41" i="26"/>
  <c r="CL41" i="26"/>
  <c r="CK41" i="26"/>
  <c r="CJ41" i="26"/>
  <c r="CH41" i="26"/>
  <c r="CG41" i="26"/>
  <c r="CA41" i="26"/>
  <c r="BZ41" i="26"/>
  <c r="BT41" i="26"/>
  <c r="BS41" i="26"/>
  <c r="BM41" i="26"/>
  <c r="BL41" i="26"/>
  <c r="BF41" i="26"/>
  <c r="BE41" i="26"/>
  <c r="AY41" i="26"/>
  <c r="AX41" i="26"/>
  <c r="AR41" i="26"/>
  <c r="AQ41" i="26"/>
  <c r="AK41" i="26"/>
  <c r="AJ41" i="26"/>
  <c r="AD41" i="26"/>
  <c r="AC41" i="26"/>
  <c r="W41" i="26"/>
  <c r="V41" i="26"/>
  <c r="P41" i="26"/>
  <c r="O41" i="26"/>
  <c r="I41" i="26"/>
  <c r="H41" i="26"/>
  <c r="CM40" i="26"/>
  <c r="CL40" i="26"/>
  <c r="CK40" i="26"/>
  <c r="CJ40" i="26"/>
  <c r="CH40" i="26"/>
  <c r="CG40" i="26"/>
  <c r="CA40" i="26"/>
  <c r="BZ40" i="26"/>
  <c r="BT40" i="26"/>
  <c r="BS40" i="26"/>
  <c r="BM40" i="26"/>
  <c r="BL40" i="26"/>
  <c r="BF40" i="26"/>
  <c r="BE40" i="26"/>
  <c r="AY40" i="26"/>
  <c r="AX40" i="26"/>
  <c r="AR40" i="26"/>
  <c r="AQ40" i="26"/>
  <c r="AK40" i="26"/>
  <c r="AJ40" i="26"/>
  <c r="AD40" i="26"/>
  <c r="AC40" i="26"/>
  <c r="W40" i="26"/>
  <c r="V40" i="26"/>
  <c r="P40" i="26"/>
  <c r="O40" i="26"/>
  <c r="I40" i="26"/>
  <c r="H40" i="26"/>
  <c r="CM39" i="26"/>
  <c r="CL39" i="26"/>
  <c r="CK39" i="26"/>
  <c r="CJ39" i="26"/>
  <c r="CH39" i="26"/>
  <c r="CG39" i="26"/>
  <c r="CA39" i="26"/>
  <c r="BZ39" i="26"/>
  <c r="BT39" i="26"/>
  <c r="BS39" i="26"/>
  <c r="BM39" i="26"/>
  <c r="BL39" i="26"/>
  <c r="BF39" i="26"/>
  <c r="BE39" i="26"/>
  <c r="AY39" i="26"/>
  <c r="AX39" i="26"/>
  <c r="AR39" i="26"/>
  <c r="AQ39" i="26"/>
  <c r="AK39" i="26"/>
  <c r="AJ39" i="26"/>
  <c r="AD39" i="26"/>
  <c r="AC39" i="26"/>
  <c r="W39" i="26"/>
  <c r="V39" i="26"/>
  <c r="P39" i="26"/>
  <c r="O39" i="26"/>
  <c r="I39" i="26"/>
  <c r="H39" i="26"/>
  <c r="CM38" i="26"/>
  <c r="CL38" i="26"/>
  <c r="CK38" i="26"/>
  <c r="CJ38" i="26"/>
  <c r="CH38" i="26"/>
  <c r="CG38" i="26"/>
  <c r="CA38" i="26"/>
  <c r="BZ38" i="26"/>
  <c r="BT38" i="26"/>
  <c r="BS38" i="26"/>
  <c r="BM38" i="26"/>
  <c r="BL38" i="26"/>
  <c r="BF38" i="26"/>
  <c r="BE38" i="26"/>
  <c r="AY38" i="26"/>
  <c r="AX38" i="26"/>
  <c r="AR38" i="26"/>
  <c r="AQ38" i="26"/>
  <c r="AK38" i="26"/>
  <c r="AJ38" i="26"/>
  <c r="AD38" i="26"/>
  <c r="AC38" i="26"/>
  <c r="W38" i="26"/>
  <c r="V38" i="26"/>
  <c r="P38" i="26"/>
  <c r="O38" i="26"/>
  <c r="I38" i="26"/>
  <c r="H38" i="26"/>
  <c r="CM37" i="26"/>
  <c r="CL37" i="26"/>
  <c r="CK37" i="26"/>
  <c r="CJ37" i="26"/>
  <c r="CH37" i="26"/>
  <c r="CG37" i="26"/>
  <c r="CA37" i="26"/>
  <c r="BZ37" i="26"/>
  <c r="BT37" i="26"/>
  <c r="BS37" i="26"/>
  <c r="BM37" i="26"/>
  <c r="BL37" i="26"/>
  <c r="BF37" i="26"/>
  <c r="BE37" i="26"/>
  <c r="AY37" i="26"/>
  <c r="AX37" i="26"/>
  <c r="AR37" i="26"/>
  <c r="AQ37" i="26"/>
  <c r="AK37" i="26"/>
  <c r="AJ37" i="26"/>
  <c r="AD37" i="26"/>
  <c r="AC37" i="26"/>
  <c r="W37" i="26"/>
  <c r="V37" i="26"/>
  <c r="P37" i="26"/>
  <c r="O37" i="26"/>
  <c r="I37" i="26"/>
  <c r="H37" i="26"/>
  <c r="CM36" i="26"/>
  <c r="CL36" i="26"/>
  <c r="CK36" i="26"/>
  <c r="CJ36" i="26"/>
  <c r="CH36" i="26"/>
  <c r="CG36" i="26"/>
  <c r="CA36" i="26"/>
  <c r="BZ36" i="26"/>
  <c r="BT36" i="26"/>
  <c r="BS36" i="26"/>
  <c r="BM36" i="26"/>
  <c r="BL36" i="26"/>
  <c r="BF36" i="26"/>
  <c r="BE36" i="26"/>
  <c r="AY36" i="26"/>
  <c r="AX36" i="26"/>
  <c r="AR36" i="26"/>
  <c r="AQ36" i="26"/>
  <c r="AK36" i="26"/>
  <c r="AJ36" i="26"/>
  <c r="AD36" i="26"/>
  <c r="AC36" i="26"/>
  <c r="W36" i="26"/>
  <c r="V36" i="26"/>
  <c r="P36" i="26"/>
  <c r="O36" i="26"/>
  <c r="I36" i="26"/>
  <c r="H36" i="26"/>
  <c r="CM35" i="26"/>
  <c r="CL35" i="26"/>
  <c r="CK35" i="26"/>
  <c r="CJ35" i="26"/>
  <c r="CH35" i="26"/>
  <c r="CG35" i="26"/>
  <c r="CA35" i="26"/>
  <c r="BZ35" i="26"/>
  <c r="BT35" i="26"/>
  <c r="BS35" i="26"/>
  <c r="BM35" i="26"/>
  <c r="BL35" i="26"/>
  <c r="BF35" i="26"/>
  <c r="BE35" i="26"/>
  <c r="AY35" i="26"/>
  <c r="AX35" i="26"/>
  <c r="AR35" i="26"/>
  <c r="AQ35" i="26"/>
  <c r="AK35" i="26"/>
  <c r="AJ35" i="26"/>
  <c r="AD35" i="26"/>
  <c r="AC35" i="26"/>
  <c r="W35" i="26"/>
  <c r="V35" i="26"/>
  <c r="P35" i="26"/>
  <c r="O35" i="26"/>
  <c r="I35" i="26"/>
  <c r="H35" i="26"/>
  <c r="CM34" i="26"/>
  <c r="CL34" i="26"/>
  <c r="CK34" i="26"/>
  <c r="CJ34" i="26"/>
  <c r="CH34" i="26"/>
  <c r="CG34" i="26"/>
  <c r="CA34" i="26"/>
  <c r="BZ34" i="26"/>
  <c r="BT34" i="26"/>
  <c r="BS34" i="26"/>
  <c r="BM34" i="26"/>
  <c r="BL34" i="26"/>
  <c r="BF34" i="26"/>
  <c r="BE34" i="26"/>
  <c r="AY34" i="26"/>
  <c r="AX34" i="26"/>
  <c r="AR34" i="26"/>
  <c r="AQ34" i="26"/>
  <c r="AK34" i="26"/>
  <c r="AJ34" i="26"/>
  <c r="AD34" i="26"/>
  <c r="AC34" i="26"/>
  <c r="W34" i="26"/>
  <c r="V34" i="26"/>
  <c r="P34" i="26"/>
  <c r="O34" i="26"/>
  <c r="I34" i="26"/>
  <c r="H34" i="26"/>
  <c r="CM33" i="26"/>
  <c r="CL33" i="26"/>
  <c r="CK33" i="26"/>
  <c r="CH33" i="26"/>
  <c r="CG33" i="26"/>
  <c r="CA33" i="26"/>
  <c r="BZ33" i="26"/>
  <c r="BT33" i="26"/>
  <c r="BS33" i="26"/>
  <c r="BM33" i="26"/>
  <c r="BL33" i="26"/>
  <c r="BF33" i="26"/>
  <c r="BE33" i="26"/>
  <c r="AT33" i="26"/>
  <c r="CJ33" i="26" s="1"/>
  <c r="AR33" i="26"/>
  <c r="AQ33" i="26"/>
  <c r="AK33" i="26"/>
  <c r="AJ33" i="26"/>
  <c r="AD33" i="26"/>
  <c r="AC33" i="26"/>
  <c r="W33" i="26"/>
  <c r="V33" i="26"/>
  <c r="P33" i="26"/>
  <c r="O33" i="26"/>
  <c r="I33" i="26"/>
  <c r="H33" i="26"/>
  <c r="CM32" i="26"/>
  <c r="CL32" i="26"/>
  <c r="CK32" i="26"/>
  <c r="CJ32" i="26"/>
  <c r="CH32" i="26"/>
  <c r="CG32" i="26"/>
  <c r="CA32" i="26"/>
  <c r="BZ32" i="26"/>
  <c r="BT32" i="26"/>
  <c r="BS32" i="26"/>
  <c r="BM32" i="26"/>
  <c r="BL32" i="26"/>
  <c r="BF32" i="26"/>
  <c r="BE32" i="26"/>
  <c r="AY32" i="26"/>
  <c r="AX32" i="26"/>
  <c r="AR32" i="26"/>
  <c r="AQ32" i="26"/>
  <c r="AK32" i="26"/>
  <c r="AJ32" i="26"/>
  <c r="AD32" i="26"/>
  <c r="AC32" i="26"/>
  <c r="W32" i="26"/>
  <c r="V32" i="26"/>
  <c r="P32" i="26"/>
  <c r="O32" i="26"/>
  <c r="I32" i="26"/>
  <c r="H32" i="26"/>
  <c r="CM31" i="26"/>
  <c r="CL31" i="26"/>
  <c r="CK31" i="26"/>
  <c r="CJ31" i="26"/>
  <c r="CH31" i="26"/>
  <c r="CG31" i="26"/>
  <c r="CA31" i="26"/>
  <c r="BZ31" i="26"/>
  <c r="BT31" i="26"/>
  <c r="BS31" i="26"/>
  <c r="BM31" i="26"/>
  <c r="BL31" i="26"/>
  <c r="BF31" i="26"/>
  <c r="BE31" i="26"/>
  <c r="AY31" i="26"/>
  <c r="AX31" i="26"/>
  <c r="AR31" i="26"/>
  <c r="AQ31" i="26"/>
  <c r="AK31" i="26"/>
  <c r="AJ31" i="26"/>
  <c r="AD31" i="26"/>
  <c r="AC31" i="26"/>
  <c r="W31" i="26"/>
  <c r="V31" i="26"/>
  <c r="P31" i="26"/>
  <c r="O31" i="26"/>
  <c r="I31" i="26"/>
  <c r="H31" i="26"/>
  <c r="S118" i="47" l="1"/>
  <c r="M121" i="47"/>
  <c r="M122" i="47" s="1"/>
  <c r="E121" i="47"/>
  <c r="S106" i="47"/>
  <c r="T106" i="47" s="1"/>
  <c r="K121" i="47"/>
  <c r="C121" i="47"/>
  <c r="N120" i="47"/>
  <c r="R120" i="47" s="1"/>
  <c r="R122" i="47" s="1"/>
  <c r="F120" i="47"/>
  <c r="F122" i="47" s="1"/>
  <c r="R121" i="47"/>
  <c r="J121" i="47"/>
  <c r="M120" i="47"/>
  <c r="E120" i="47"/>
  <c r="O120" i="47" s="1"/>
  <c r="O122" i="47" s="1"/>
  <c r="K122" i="47"/>
  <c r="T118" i="47"/>
  <c r="H120" i="47"/>
  <c r="H122" i="47" s="1"/>
  <c r="T98" i="47"/>
  <c r="S114" i="47"/>
  <c r="T114" i="47" s="1"/>
  <c r="Q121" i="47"/>
  <c r="I121" i="47"/>
  <c r="I122" i="47" s="1"/>
  <c r="S102" i="47"/>
  <c r="T102" i="47" s="1"/>
  <c r="C122" i="47"/>
  <c r="O121" i="47"/>
  <c r="G121" i="47"/>
  <c r="G122" i="47" s="1"/>
  <c r="J120" i="47"/>
  <c r="J122" i="47" s="1"/>
  <c r="I120" i="47"/>
  <c r="D122" i="47"/>
  <c r="L122" i="47"/>
  <c r="S121" i="47"/>
  <c r="C56" i="27"/>
  <c r="O35" i="27"/>
  <c r="O48" i="27"/>
  <c r="H53" i="26"/>
  <c r="CN53" i="26" s="1"/>
  <c r="CQ53" i="26" s="1"/>
  <c r="D54" i="26"/>
  <c r="V54" i="26"/>
  <c r="BZ54" i="26"/>
  <c r="CN49" i="26"/>
  <c r="CQ49" i="26" s="1"/>
  <c r="CO51" i="26"/>
  <c r="CR51" i="26" s="1"/>
  <c r="AK54" i="26"/>
  <c r="CK54" i="26"/>
  <c r="CJ53" i="26"/>
  <c r="BM54" i="26"/>
  <c r="CN31" i="26"/>
  <c r="CQ31" i="26" s="1"/>
  <c r="P54" i="26"/>
  <c r="AR54" i="26"/>
  <c r="BT54" i="26"/>
  <c r="CM54" i="26"/>
  <c r="CO34" i="26"/>
  <c r="CR34" i="26" s="1"/>
  <c r="CO37" i="26"/>
  <c r="CR37" i="26" s="1"/>
  <c r="CO39" i="26"/>
  <c r="CR39" i="26" s="1"/>
  <c r="CO41" i="26"/>
  <c r="CR41" i="26" s="1"/>
  <c r="CO42" i="26"/>
  <c r="CR42" i="26" s="1"/>
  <c r="CO44" i="26"/>
  <c r="CR44" i="26" s="1"/>
  <c r="H46" i="26"/>
  <c r="CN46" i="26" s="1"/>
  <c r="CQ46" i="26" s="1"/>
  <c r="CJ46" i="26"/>
  <c r="CN47" i="26"/>
  <c r="CQ47" i="26" s="1"/>
  <c r="BS54" i="26"/>
  <c r="CN41" i="26"/>
  <c r="CQ41" i="26" s="1"/>
  <c r="CN42" i="26"/>
  <c r="CQ42" i="26" s="1"/>
  <c r="CN44" i="26"/>
  <c r="CQ44" i="26" s="1"/>
  <c r="I46" i="26"/>
  <c r="CO46" i="26" s="1"/>
  <c r="CR46" i="26" s="1"/>
  <c r="CO47" i="26"/>
  <c r="CR47" i="26" s="1"/>
  <c r="CO50" i="26"/>
  <c r="CR50" i="26" s="1"/>
  <c r="CO52" i="26"/>
  <c r="CR52" i="26" s="1"/>
  <c r="AQ54" i="26"/>
  <c r="CN39" i="26"/>
  <c r="CQ39" i="26" s="1"/>
  <c r="W54" i="26"/>
  <c r="CA54" i="26"/>
  <c r="CN50" i="26"/>
  <c r="CQ50" i="26" s="1"/>
  <c r="CN52" i="26"/>
  <c r="CQ52" i="26" s="1"/>
  <c r="CO53" i="26"/>
  <c r="CR53" i="26" s="1"/>
  <c r="CN51" i="26"/>
  <c r="CQ51" i="26" s="1"/>
  <c r="CL54" i="26"/>
  <c r="AC54" i="26"/>
  <c r="BE54" i="26"/>
  <c r="CG54" i="26"/>
  <c r="CN32" i="26"/>
  <c r="CQ32" i="26" s="1"/>
  <c r="CN34" i="26"/>
  <c r="CQ34" i="26" s="1"/>
  <c r="CN37" i="26"/>
  <c r="CQ37" i="26" s="1"/>
  <c r="AD54" i="26"/>
  <c r="BF54" i="26"/>
  <c r="CH54" i="26"/>
  <c r="CO32" i="26"/>
  <c r="CR32" i="26" s="1"/>
  <c r="CO35" i="26"/>
  <c r="CR35" i="26" s="1"/>
  <c r="CO36" i="26"/>
  <c r="CR36" i="26" s="1"/>
  <c r="CO38" i="26"/>
  <c r="CR38" i="26" s="1"/>
  <c r="CO40" i="26"/>
  <c r="CR40" i="26" s="1"/>
  <c r="CO43" i="26"/>
  <c r="CR43" i="26" s="1"/>
  <c r="CO45" i="26"/>
  <c r="CR45" i="26" s="1"/>
  <c r="CN48" i="26"/>
  <c r="CQ48" i="26" s="1"/>
  <c r="AJ54" i="26"/>
  <c r="BL54" i="26"/>
  <c r="CN35" i="26"/>
  <c r="CQ35" i="26" s="1"/>
  <c r="CN36" i="26"/>
  <c r="CQ36" i="26" s="1"/>
  <c r="CN38" i="26"/>
  <c r="CQ38" i="26" s="1"/>
  <c r="CN40" i="26"/>
  <c r="CQ40" i="26" s="1"/>
  <c r="CN43" i="26"/>
  <c r="CQ43" i="26" s="1"/>
  <c r="CN45" i="26"/>
  <c r="CQ45" i="26" s="1"/>
  <c r="CO48" i="26"/>
  <c r="CR48" i="26" s="1"/>
  <c r="CO49" i="26"/>
  <c r="CR49" i="26" s="1"/>
  <c r="CO31" i="26"/>
  <c r="AX33" i="26"/>
  <c r="AX54" i="26" s="1"/>
  <c r="O54" i="26"/>
  <c r="AY33" i="26"/>
  <c r="AY54" i="26" s="1"/>
  <c r="AT54" i="26"/>
  <c r="P120" i="47" l="1"/>
  <c r="P122" i="47" s="1"/>
  <c r="N122" i="47"/>
  <c r="E122" i="47"/>
  <c r="S120" i="47"/>
  <c r="Q120" i="47"/>
  <c r="Q122" i="47" s="1"/>
  <c r="S122" i="47"/>
  <c r="O56" i="27"/>
  <c r="H54" i="26"/>
  <c r="CJ54" i="26"/>
  <c r="I54" i="26"/>
  <c r="CO33" i="26"/>
  <c r="CR33" i="26" s="1"/>
  <c r="CR31" i="26"/>
  <c r="CN33" i="26"/>
  <c r="CO54" i="26" l="1"/>
  <c r="CR54" i="26"/>
  <c r="CQ33" i="26"/>
  <c r="CQ54" i="26" s="1"/>
  <c r="CN54" i="26"/>
  <c r="V16" i="36" l="1"/>
  <c r="AW31" i="36" l="1"/>
  <c r="AS31" i="36"/>
  <c r="AO31" i="36"/>
  <c r="AK31" i="36"/>
  <c r="AG31" i="36"/>
  <c r="AC31" i="36"/>
  <c r="Y31" i="36"/>
  <c r="U31" i="36"/>
  <c r="Q31" i="36"/>
  <c r="AW25" i="36"/>
  <c r="AW24" i="36"/>
  <c r="AW23" i="36"/>
  <c r="AS25" i="36"/>
  <c r="AS24" i="36"/>
  <c r="AS23" i="36"/>
  <c r="AO25" i="36"/>
  <c r="AO24" i="36"/>
  <c r="AO23" i="36"/>
  <c r="AK25" i="36"/>
  <c r="AK24" i="36"/>
  <c r="AK23" i="36"/>
  <c r="AG25" i="36"/>
  <c r="AG24" i="36"/>
  <c r="AG23" i="36"/>
  <c r="AC25" i="36"/>
  <c r="AC24" i="36"/>
  <c r="AC23" i="36"/>
  <c r="Y25" i="36"/>
  <c r="Y24" i="36"/>
  <c r="Y23" i="36"/>
  <c r="U25" i="36"/>
  <c r="U24" i="36"/>
  <c r="U23" i="36"/>
  <c r="Q25" i="36"/>
  <c r="Q24" i="36"/>
  <c r="Q23" i="36"/>
  <c r="AW16" i="36"/>
  <c r="AS16" i="36"/>
  <c r="AO16" i="36"/>
  <c r="AK16" i="36"/>
  <c r="AG16" i="36"/>
  <c r="AC16" i="36"/>
  <c r="Y16" i="36"/>
  <c r="U16" i="36"/>
  <c r="Q16" i="36"/>
  <c r="M31" i="36"/>
  <c r="M25" i="36"/>
  <c r="M24" i="36"/>
  <c r="M23" i="36"/>
  <c r="M16" i="36"/>
  <c r="I25" i="36"/>
  <c r="I24" i="36"/>
  <c r="I23" i="36"/>
  <c r="I16" i="36"/>
  <c r="I31" i="36"/>
  <c r="E31" i="36" l="1"/>
  <c r="E25" i="36"/>
  <c r="E24" i="36"/>
  <c r="E23" i="36"/>
  <c r="E16" i="36" l="1"/>
  <c r="O11" i="39" l="1"/>
  <c r="CK21" i="59" l="1"/>
  <c r="CK20" i="59"/>
  <c r="CK19" i="59"/>
  <c r="CK18" i="59"/>
  <c r="AX25" i="36" l="1"/>
  <c r="AX24" i="36"/>
  <c r="AX23" i="36"/>
  <c r="AT25" i="36"/>
  <c r="AT24" i="36"/>
  <c r="AT23" i="36"/>
  <c r="AP25" i="36"/>
  <c r="AP24" i="36"/>
  <c r="AP23" i="36"/>
  <c r="AL25" i="36"/>
  <c r="AL24" i="36"/>
  <c r="AL23" i="36"/>
  <c r="AH25" i="36"/>
  <c r="AH24" i="36"/>
  <c r="AH23" i="36"/>
  <c r="AD25" i="36"/>
  <c r="AD24" i="36"/>
  <c r="AD23" i="36"/>
  <c r="Z25" i="36"/>
  <c r="Z24" i="36"/>
  <c r="Z23" i="36"/>
  <c r="V25" i="36"/>
  <c r="V24" i="36"/>
  <c r="V23" i="36"/>
  <c r="R25" i="36"/>
  <c r="R24" i="36"/>
  <c r="R23" i="36"/>
  <c r="N25" i="36"/>
  <c r="N24" i="36"/>
  <c r="N23" i="36"/>
  <c r="J25" i="36"/>
  <c r="J24" i="36"/>
  <c r="J23" i="36"/>
  <c r="F25" i="36"/>
  <c r="F24" i="36"/>
  <c r="F23" i="36"/>
  <c r="N21" i="39" l="1"/>
  <c r="N20" i="39"/>
  <c r="N19" i="39"/>
  <c r="N18" i="39"/>
  <c r="M17" i="39"/>
  <c r="L17" i="39"/>
  <c r="K17" i="39"/>
  <c r="J17" i="39"/>
  <c r="I17" i="39"/>
  <c r="H17" i="39"/>
  <c r="V6" i="42"/>
  <c r="V10" i="42"/>
  <c r="V9" i="42"/>
  <c r="T6" i="42"/>
  <c r="BL43" i="36"/>
  <c r="BL42" i="36"/>
  <c r="BL40" i="36"/>
  <c r="BL39" i="36"/>
  <c r="BL38" i="36"/>
  <c r="BL37" i="36"/>
  <c r="BL36" i="36"/>
  <c r="BL35" i="36"/>
  <c r="BL34" i="36"/>
  <c r="BL28" i="36"/>
  <c r="BL21" i="36"/>
  <c r="BL20" i="36"/>
  <c r="BL15" i="36"/>
  <c r="BL14" i="36"/>
  <c r="BL13" i="36"/>
  <c r="BG10" i="36"/>
  <c r="BK10" i="36"/>
  <c r="BL51" i="36"/>
  <c r="BL50" i="36"/>
  <c r="BL49" i="36"/>
  <c r="BL48" i="36"/>
  <c r="BL47" i="36"/>
  <c r="BL46" i="36"/>
  <c r="BL45" i="36"/>
  <c r="BL44" i="36"/>
  <c r="R16" i="36" l="1"/>
  <c r="AY22" i="26" l="1"/>
  <c r="I43" i="36" l="1"/>
  <c r="J55" i="59" l="1"/>
  <c r="Q55" i="59"/>
  <c r="X55" i="59"/>
  <c r="AE55" i="59"/>
  <c r="AL55" i="59"/>
  <c r="AS55" i="59"/>
  <c r="AZ55" i="59"/>
  <c r="BG55" i="59"/>
  <c r="BN55" i="59"/>
  <c r="BU55" i="59"/>
  <c r="CB55" i="59"/>
  <c r="CI55" i="59"/>
  <c r="CK55" i="59"/>
  <c r="CL55" i="59"/>
  <c r="CM55" i="59"/>
  <c r="CN55" i="59"/>
  <c r="CO55" i="59"/>
  <c r="J24" i="59"/>
  <c r="Q24" i="59"/>
  <c r="X24" i="59"/>
  <c r="AE24" i="59"/>
  <c r="AL24" i="59"/>
  <c r="AS24" i="59"/>
  <c r="AZ24" i="59"/>
  <c r="BG24" i="59"/>
  <c r="BN24" i="59"/>
  <c r="BU24" i="59"/>
  <c r="CB24" i="59"/>
  <c r="CI24" i="59"/>
  <c r="CK24" i="59"/>
  <c r="CL24" i="59"/>
  <c r="CM24" i="59"/>
  <c r="CN24" i="59"/>
  <c r="CO24" i="59"/>
  <c r="CP55" i="59" l="1"/>
  <c r="CP24" i="59"/>
  <c r="CP78" i="59" l="1"/>
  <c r="Q110" i="59"/>
  <c r="X110" i="59" s="1"/>
  <c r="AE110" i="59" s="1"/>
  <c r="AL110" i="59" s="1"/>
  <c r="AS110" i="59" s="1"/>
  <c r="AZ110" i="59" s="1"/>
  <c r="BG110" i="59" s="1"/>
  <c r="BN110" i="59" s="1"/>
  <c r="BU110" i="59" s="1"/>
  <c r="CB110" i="59" s="1"/>
  <c r="CI110" i="59" s="1"/>
  <c r="Q109" i="59"/>
  <c r="X109" i="59" s="1"/>
  <c r="AE109" i="59" s="1"/>
  <c r="AL109" i="59" s="1"/>
  <c r="AS109" i="59" s="1"/>
  <c r="AZ109" i="59" s="1"/>
  <c r="BG109" i="59" s="1"/>
  <c r="BN109" i="59" s="1"/>
  <c r="BU109" i="59" s="1"/>
  <c r="CB109" i="59" s="1"/>
  <c r="CI109" i="59" s="1"/>
  <c r="Q108" i="59"/>
  <c r="X108" i="59" s="1"/>
  <c r="AE108" i="59" s="1"/>
  <c r="AL108" i="59" s="1"/>
  <c r="AS108" i="59" s="1"/>
  <c r="AZ108" i="59" s="1"/>
  <c r="BG108" i="59" s="1"/>
  <c r="BN108" i="59" s="1"/>
  <c r="BU108" i="59" s="1"/>
  <c r="CB108" i="59" s="1"/>
  <c r="CI108" i="59" s="1"/>
  <c r="Q107" i="59"/>
  <c r="X107" i="59" s="1"/>
  <c r="AE107" i="59" s="1"/>
  <c r="AL107" i="59" s="1"/>
  <c r="AS107" i="59" s="1"/>
  <c r="AZ107" i="59" s="1"/>
  <c r="BG107" i="59" s="1"/>
  <c r="BN107" i="59" s="1"/>
  <c r="BU107" i="59" s="1"/>
  <c r="CB107" i="59" s="1"/>
  <c r="CI107" i="59" s="1"/>
  <c r="Q106" i="59"/>
  <c r="X106" i="59" s="1"/>
  <c r="AE106" i="59" s="1"/>
  <c r="AL106" i="59" s="1"/>
  <c r="AS106" i="59" s="1"/>
  <c r="AZ106" i="59" s="1"/>
  <c r="BG106" i="59" s="1"/>
  <c r="BN106" i="59" s="1"/>
  <c r="BU106" i="59" s="1"/>
  <c r="CB106" i="59" s="1"/>
  <c r="CI106" i="59" s="1"/>
  <c r="Q105" i="59"/>
  <c r="X105" i="59" s="1"/>
  <c r="AE105" i="59" s="1"/>
  <c r="AL105" i="59" s="1"/>
  <c r="AS105" i="59" s="1"/>
  <c r="AZ105" i="59" s="1"/>
  <c r="BG105" i="59" s="1"/>
  <c r="BN105" i="59" s="1"/>
  <c r="BU105" i="59" s="1"/>
  <c r="CB105" i="59" s="1"/>
  <c r="CI105" i="59" s="1"/>
  <c r="Q104" i="59"/>
  <c r="X104" i="59" s="1"/>
  <c r="AE104" i="59" s="1"/>
  <c r="AL104" i="59" s="1"/>
  <c r="AS104" i="59" s="1"/>
  <c r="AZ104" i="59" s="1"/>
  <c r="BG104" i="59" s="1"/>
  <c r="BN104" i="59" s="1"/>
  <c r="BU104" i="59" s="1"/>
  <c r="CB104" i="59" s="1"/>
  <c r="CI104" i="59" s="1"/>
  <c r="Q103" i="59"/>
  <c r="X103" i="59" s="1"/>
  <c r="AE103" i="59" s="1"/>
  <c r="AL103" i="59" s="1"/>
  <c r="AS103" i="59" s="1"/>
  <c r="AZ103" i="59" s="1"/>
  <c r="BG103" i="59" s="1"/>
  <c r="BN103" i="59" s="1"/>
  <c r="BU103" i="59" s="1"/>
  <c r="CB103" i="59" s="1"/>
  <c r="CI103" i="59" s="1"/>
  <c r="Q102" i="59"/>
  <c r="X102" i="59" s="1"/>
  <c r="AE102" i="59" s="1"/>
  <c r="AL102" i="59" s="1"/>
  <c r="AS102" i="59" s="1"/>
  <c r="AZ102" i="59" s="1"/>
  <c r="BG102" i="59" s="1"/>
  <c r="BN102" i="59" s="1"/>
  <c r="BU102" i="59" s="1"/>
  <c r="CB102" i="59" s="1"/>
  <c r="CI102" i="59" s="1"/>
  <c r="C5" i="59" l="1"/>
  <c r="N87" i="52" l="1"/>
  <c r="N86" i="52"/>
  <c r="N85" i="52"/>
  <c r="G16" i="63" s="1"/>
  <c r="M87" i="52"/>
  <c r="M86" i="52"/>
  <c r="M85" i="52"/>
  <c r="G15" i="63" s="1"/>
  <c r="L87" i="52"/>
  <c r="L86" i="52"/>
  <c r="L85" i="52"/>
  <c r="G14" i="63" s="1"/>
  <c r="K87" i="52"/>
  <c r="K86" i="52"/>
  <c r="K85" i="52"/>
  <c r="G13" i="63" s="1"/>
  <c r="J87" i="52"/>
  <c r="J86" i="52"/>
  <c r="J85" i="52"/>
  <c r="G12" i="63" s="1"/>
  <c r="I87" i="52"/>
  <c r="I85" i="52"/>
  <c r="G11" i="63" s="1"/>
  <c r="I86" i="52"/>
  <c r="H87" i="52"/>
  <c r="H86" i="52"/>
  <c r="H85" i="52"/>
  <c r="G10" i="63" s="1"/>
  <c r="G87" i="52"/>
  <c r="G86" i="52"/>
  <c r="G85" i="52"/>
  <c r="G9" i="63" s="1"/>
  <c r="F87" i="52"/>
  <c r="F86" i="52"/>
  <c r="F85" i="52"/>
  <c r="G8" i="63" s="1"/>
  <c r="E87" i="52"/>
  <c r="E86" i="52"/>
  <c r="E85" i="52"/>
  <c r="G7" i="63" s="1"/>
  <c r="D87" i="52"/>
  <c r="D86" i="52"/>
  <c r="D85" i="52"/>
  <c r="G6" i="63" s="1"/>
  <c r="C87" i="52"/>
  <c r="C86" i="52"/>
  <c r="C85" i="52"/>
  <c r="G5" i="63" s="1"/>
  <c r="N31" i="52"/>
  <c r="M31" i="52"/>
  <c r="L31" i="52"/>
  <c r="K31" i="52"/>
  <c r="J31" i="52"/>
  <c r="I31" i="52"/>
  <c r="H31" i="52"/>
  <c r="G31" i="52"/>
  <c r="F31" i="52"/>
  <c r="E31" i="52"/>
  <c r="D31" i="52"/>
  <c r="C31" i="52"/>
  <c r="N4" i="52"/>
  <c r="M4" i="52"/>
  <c r="L4" i="52"/>
  <c r="K4" i="52"/>
  <c r="J4" i="52"/>
  <c r="I4" i="52"/>
  <c r="H4" i="52"/>
  <c r="G4" i="52"/>
  <c r="F4" i="52"/>
  <c r="E4" i="52"/>
  <c r="D4" i="52"/>
  <c r="C4" i="52"/>
  <c r="N125" i="47"/>
  <c r="G32" i="63" s="1"/>
  <c r="M125" i="47"/>
  <c r="G31" i="63" s="1"/>
  <c r="L125" i="47"/>
  <c r="G30" i="63" s="1"/>
  <c r="K125" i="47"/>
  <c r="G29" i="63" s="1"/>
  <c r="J125" i="47"/>
  <c r="G28" i="63" s="1"/>
  <c r="I125" i="47"/>
  <c r="G27" i="63" s="1"/>
  <c r="H125" i="47"/>
  <c r="G26" i="63" s="1"/>
  <c r="G125" i="47"/>
  <c r="G25" i="63" s="1"/>
  <c r="F125" i="47"/>
  <c r="G24" i="63" s="1"/>
  <c r="E125" i="47"/>
  <c r="G23" i="63" s="1"/>
  <c r="D125" i="47"/>
  <c r="G22" i="63" s="1"/>
  <c r="C125" i="47"/>
  <c r="G21" i="63" s="1"/>
  <c r="N58" i="56"/>
  <c r="M58" i="56"/>
  <c r="L58" i="56"/>
  <c r="K58" i="56"/>
  <c r="J58" i="56"/>
  <c r="I58" i="56"/>
  <c r="H58" i="56"/>
  <c r="G58" i="56"/>
  <c r="F58" i="56"/>
  <c r="E58" i="56"/>
  <c r="D58" i="56"/>
  <c r="C58" i="56"/>
  <c r="N22" i="56"/>
  <c r="M22" i="56"/>
  <c r="L22" i="56"/>
  <c r="K22" i="56"/>
  <c r="J22" i="56"/>
  <c r="I22" i="56"/>
  <c r="H22" i="56"/>
  <c r="G22" i="56"/>
  <c r="F22" i="56"/>
  <c r="E22" i="56"/>
  <c r="D22" i="56"/>
  <c r="C22" i="56"/>
  <c r="Q85" i="52" l="1"/>
  <c r="R85" i="52"/>
  <c r="C11" i="39"/>
  <c r="D11" i="39" s="1"/>
  <c r="E11" i="39" s="1"/>
  <c r="F11" i="39" s="1"/>
  <c r="G11" i="39" s="1"/>
  <c r="H11" i="39" s="1"/>
  <c r="I11" i="39" s="1"/>
  <c r="J11" i="39" s="1"/>
  <c r="K11" i="39" s="1"/>
  <c r="L11" i="39" s="1"/>
  <c r="M11" i="39" s="1"/>
  <c r="N15" i="39"/>
  <c r="M43" i="39"/>
  <c r="L43" i="39"/>
  <c r="K43" i="39"/>
  <c r="J43" i="39"/>
  <c r="I43" i="39"/>
  <c r="H43" i="39"/>
  <c r="G43" i="39"/>
  <c r="F43" i="39"/>
  <c r="E43" i="39"/>
  <c r="D43" i="39"/>
  <c r="C43" i="39"/>
  <c r="B43" i="39"/>
  <c r="M42" i="39"/>
  <c r="L42" i="39"/>
  <c r="K42" i="39"/>
  <c r="J42" i="39"/>
  <c r="I42" i="39"/>
  <c r="H42" i="39"/>
  <c r="G42" i="39"/>
  <c r="F42" i="39"/>
  <c r="E42" i="39"/>
  <c r="D42" i="39"/>
  <c r="C42" i="39"/>
  <c r="B42" i="39"/>
  <c r="M41" i="39"/>
  <c r="L41" i="39"/>
  <c r="K41" i="39"/>
  <c r="J41" i="39"/>
  <c r="I41" i="39"/>
  <c r="H41" i="39"/>
  <c r="G41" i="39"/>
  <c r="F41" i="39"/>
  <c r="E41" i="39"/>
  <c r="D41" i="39"/>
  <c r="C41" i="39"/>
  <c r="B41" i="39"/>
  <c r="M40" i="39"/>
  <c r="L40" i="39"/>
  <c r="K40" i="39"/>
  <c r="J40" i="39"/>
  <c r="I40" i="39"/>
  <c r="H40" i="39"/>
  <c r="G40" i="39"/>
  <c r="F40" i="39"/>
  <c r="E40" i="39"/>
  <c r="D40" i="39"/>
  <c r="C40" i="39"/>
  <c r="B40" i="39"/>
  <c r="M39" i="39"/>
  <c r="L39" i="39"/>
  <c r="K39" i="39"/>
  <c r="J39" i="39"/>
  <c r="I39" i="39"/>
  <c r="H39" i="39"/>
  <c r="G39" i="39"/>
  <c r="F39" i="39"/>
  <c r="E39" i="39"/>
  <c r="D39" i="39"/>
  <c r="C39" i="39"/>
  <c r="B39" i="39"/>
  <c r="M38" i="39"/>
  <c r="L38" i="39"/>
  <c r="K38" i="39"/>
  <c r="J38" i="39"/>
  <c r="I38" i="39"/>
  <c r="H38" i="39"/>
  <c r="G38" i="39"/>
  <c r="F38" i="39"/>
  <c r="E38" i="39"/>
  <c r="D38" i="39"/>
  <c r="C38" i="39"/>
  <c r="B38" i="39"/>
  <c r="M37" i="39"/>
  <c r="L37" i="39"/>
  <c r="K37" i="39"/>
  <c r="J37" i="39"/>
  <c r="I37" i="39"/>
  <c r="H37" i="39"/>
  <c r="G37" i="39"/>
  <c r="F37" i="39"/>
  <c r="E37" i="39"/>
  <c r="D37" i="39"/>
  <c r="C37" i="39"/>
  <c r="B37" i="39"/>
  <c r="M36" i="39"/>
  <c r="L36" i="39"/>
  <c r="K36" i="39"/>
  <c r="J36" i="39"/>
  <c r="I36" i="39"/>
  <c r="H36" i="39"/>
  <c r="G36" i="39"/>
  <c r="F36" i="39"/>
  <c r="E36" i="39"/>
  <c r="D36" i="39"/>
  <c r="C36" i="39"/>
  <c r="B36" i="39"/>
  <c r="M35" i="39"/>
  <c r="L35" i="39"/>
  <c r="K35" i="39"/>
  <c r="J35" i="39"/>
  <c r="I35" i="39"/>
  <c r="H35" i="39"/>
  <c r="G35" i="39"/>
  <c r="F35" i="39"/>
  <c r="E35" i="39"/>
  <c r="D35" i="39"/>
  <c r="C35" i="39"/>
  <c r="B35" i="39"/>
  <c r="M34" i="39"/>
  <c r="M44" i="39" s="1"/>
  <c r="L34" i="39"/>
  <c r="K34" i="39"/>
  <c r="J34" i="39"/>
  <c r="I34" i="39"/>
  <c r="H34" i="39"/>
  <c r="H44" i="39" s="1"/>
  <c r="G34" i="39"/>
  <c r="F34" i="39"/>
  <c r="E34" i="39"/>
  <c r="D34" i="39"/>
  <c r="C34" i="39"/>
  <c r="B34" i="39"/>
  <c r="CP72" i="59"/>
  <c r="CP71" i="59"/>
  <c r="CP70" i="59"/>
  <c r="M29" i="32"/>
  <c r="L29" i="32"/>
  <c r="K29" i="32"/>
  <c r="J29" i="32"/>
  <c r="I29" i="32"/>
  <c r="H29" i="32"/>
  <c r="G29" i="32"/>
  <c r="F29" i="32"/>
  <c r="E29" i="32"/>
  <c r="D29" i="32"/>
  <c r="C29" i="32"/>
  <c r="B29" i="32"/>
  <c r="M28" i="32"/>
  <c r="L28" i="32"/>
  <c r="K28" i="32"/>
  <c r="J28" i="32"/>
  <c r="I28" i="32"/>
  <c r="H28" i="32"/>
  <c r="G28" i="32"/>
  <c r="F28" i="32"/>
  <c r="E28" i="32"/>
  <c r="D28" i="32"/>
  <c r="C28" i="32"/>
  <c r="B28" i="32"/>
  <c r="M27" i="32"/>
  <c r="L27" i="32"/>
  <c r="K27" i="32"/>
  <c r="J27" i="32"/>
  <c r="I27" i="32"/>
  <c r="H27" i="32"/>
  <c r="G27" i="32"/>
  <c r="F27" i="32"/>
  <c r="E27" i="32"/>
  <c r="D27" i="32"/>
  <c r="C27" i="32"/>
  <c r="B27" i="32"/>
  <c r="M51" i="32"/>
  <c r="L51" i="32"/>
  <c r="K51" i="32"/>
  <c r="J51" i="32"/>
  <c r="I51" i="32"/>
  <c r="H51" i="32"/>
  <c r="G51" i="32"/>
  <c r="H22" i="22" s="1"/>
  <c r="F51" i="32"/>
  <c r="G22" i="22" s="1"/>
  <c r="E51" i="32"/>
  <c r="F22" i="22" s="1"/>
  <c r="D51" i="32"/>
  <c r="E22" i="22" s="1"/>
  <c r="C51" i="32"/>
  <c r="D22" i="22" s="1"/>
  <c r="B51" i="32"/>
  <c r="CP76" i="59"/>
  <c r="M49" i="32"/>
  <c r="L49" i="32"/>
  <c r="K49" i="32"/>
  <c r="J49" i="32"/>
  <c r="I49" i="32"/>
  <c r="H49" i="32"/>
  <c r="G49" i="32"/>
  <c r="F49" i="32"/>
  <c r="E49" i="32"/>
  <c r="D49" i="32"/>
  <c r="C49" i="32"/>
  <c r="B49" i="32"/>
  <c r="CP100" i="59"/>
  <c r="M25" i="32"/>
  <c r="L25" i="32"/>
  <c r="K25" i="32"/>
  <c r="J25" i="32"/>
  <c r="I25" i="32"/>
  <c r="H25" i="32"/>
  <c r="G25" i="32"/>
  <c r="F25" i="32"/>
  <c r="E25" i="32"/>
  <c r="D25" i="32"/>
  <c r="C25" i="32"/>
  <c r="B25" i="32"/>
  <c r="M24" i="32"/>
  <c r="L24" i="32"/>
  <c r="K24" i="32"/>
  <c r="J24" i="32"/>
  <c r="I24" i="32"/>
  <c r="H24" i="32"/>
  <c r="G24" i="32"/>
  <c r="F24" i="32"/>
  <c r="E24" i="32"/>
  <c r="D24" i="32"/>
  <c r="C24" i="32"/>
  <c r="B24" i="32"/>
  <c r="B23" i="32"/>
  <c r="M23" i="32"/>
  <c r="L23" i="32"/>
  <c r="K23" i="32"/>
  <c r="J23" i="32"/>
  <c r="I23" i="32"/>
  <c r="H23" i="32"/>
  <c r="G23" i="32"/>
  <c r="F23" i="32"/>
  <c r="E23" i="32"/>
  <c r="D23" i="32"/>
  <c r="C23" i="32"/>
  <c r="CP98" i="59"/>
  <c r="CP97" i="59"/>
  <c r="CP96" i="59"/>
  <c r="M6" i="32"/>
  <c r="L6" i="32"/>
  <c r="K6" i="32"/>
  <c r="J6" i="32"/>
  <c r="I6" i="32"/>
  <c r="H6" i="32"/>
  <c r="G6" i="32"/>
  <c r="F6" i="32"/>
  <c r="E6" i="32"/>
  <c r="D6" i="32"/>
  <c r="C6" i="32"/>
  <c r="B6" i="32"/>
  <c r="CP81" i="59"/>
  <c r="CP80" i="59"/>
  <c r="M5" i="32"/>
  <c r="L5" i="32"/>
  <c r="K5" i="32"/>
  <c r="J5" i="32"/>
  <c r="I5" i="32"/>
  <c r="H5" i="32"/>
  <c r="G5" i="32"/>
  <c r="F5" i="32"/>
  <c r="E5" i="32"/>
  <c r="D5" i="32"/>
  <c r="C5" i="32"/>
  <c r="B5" i="32"/>
  <c r="C15" i="56"/>
  <c r="CP94" i="59"/>
  <c r="D26" i="18" s="1"/>
  <c r="CP93" i="59"/>
  <c r="D25" i="18" s="1"/>
  <c r="CP92" i="59"/>
  <c r="D24" i="18" s="1"/>
  <c r="CP91" i="59"/>
  <c r="D23" i="18" s="1"/>
  <c r="CP90" i="59"/>
  <c r="D22" i="18" s="1"/>
  <c r="CP89" i="59"/>
  <c r="D21" i="18" s="1"/>
  <c r="CP88" i="59"/>
  <c r="D20" i="18" s="1"/>
  <c r="CP87" i="59"/>
  <c r="D19" i="18" s="1"/>
  <c r="CP86" i="59"/>
  <c r="D18" i="18" s="1"/>
  <c r="CP85" i="59"/>
  <c r="D17" i="18" s="1"/>
  <c r="C22" i="22" l="1"/>
  <c r="N51" i="32"/>
  <c r="L44" i="39"/>
  <c r="I44" i="39"/>
  <c r="B44" i="39"/>
  <c r="F44" i="39"/>
  <c r="J44" i="39"/>
  <c r="D44" i="39"/>
  <c r="E44" i="39"/>
  <c r="C44" i="39"/>
  <c r="G44" i="39"/>
  <c r="K44" i="39"/>
  <c r="D27" i="18"/>
  <c r="D28" i="18" s="1"/>
  <c r="E18" i="18" l="1"/>
  <c r="E21" i="18"/>
  <c r="E24" i="18"/>
  <c r="E17" i="18"/>
  <c r="E26" i="18"/>
  <c r="E19" i="18"/>
  <c r="E20" i="18"/>
  <c r="E22" i="18"/>
  <c r="E25" i="18"/>
  <c r="E23" i="18"/>
  <c r="N15" i="62"/>
  <c r="M15" i="62"/>
  <c r="L15" i="62"/>
  <c r="K15" i="62"/>
  <c r="J15" i="62"/>
  <c r="I15" i="62"/>
  <c r="H15" i="62"/>
  <c r="G15" i="62"/>
  <c r="F15" i="62"/>
  <c r="E15" i="62"/>
  <c r="D15" i="62"/>
  <c r="C15" i="62"/>
  <c r="V13" i="62"/>
  <c r="N9" i="62"/>
  <c r="M9" i="62"/>
  <c r="L9" i="62"/>
  <c r="K9" i="62"/>
  <c r="J9" i="62"/>
  <c r="I9" i="62"/>
  <c r="H9" i="62"/>
  <c r="G9" i="62"/>
  <c r="F9" i="62"/>
  <c r="E9" i="62"/>
  <c r="D9" i="62"/>
  <c r="C9" i="62"/>
  <c r="N8" i="62"/>
  <c r="M8" i="62"/>
  <c r="L8" i="62"/>
  <c r="K8" i="62"/>
  <c r="J8" i="62"/>
  <c r="I8" i="62"/>
  <c r="H8" i="62"/>
  <c r="G8" i="62"/>
  <c r="F8" i="62"/>
  <c r="E8" i="62"/>
  <c r="D8" i="62"/>
  <c r="C8" i="62"/>
  <c r="N5" i="62"/>
  <c r="M5" i="62"/>
  <c r="L5" i="62"/>
  <c r="K5" i="62"/>
  <c r="J5" i="62"/>
  <c r="I5" i="62"/>
  <c r="H5" i="62"/>
  <c r="G5" i="62"/>
  <c r="F5" i="62"/>
  <c r="E5" i="62"/>
  <c r="D5" i="62"/>
  <c r="C5" i="62"/>
  <c r="E27" i="18" l="1"/>
  <c r="R9" i="62"/>
  <c r="Q5" i="62"/>
  <c r="P8" i="62"/>
  <c r="R8" i="62"/>
  <c r="O8" i="62"/>
  <c r="O9" i="62"/>
  <c r="P9" i="62"/>
  <c r="O5" i="62"/>
  <c r="R5" i="62"/>
  <c r="P5" i="62"/>
  <c r="Q9" i="62"/>
  <c r="Q8" i="62"/>
  <c r="S8" i="62" l="1"/>
  <c r="U8" i="62" s="1"/>
  <c r="V8" i="62" s="1"/>
  <c r="O15" i="62"/>
  <c r="Q15" i="62"/>
  <c r="S9" i="62"/>
  <c r="U9" i="62" s="1"/>
  <c r="V9" i="62" s="1"/>
  <c r="S5" i="62"/>
  <c r="U5" i="62" s="1"/>
  <c r="P15" i="62"/>
  <c r="R15" i="62" l="1"/>
  <c r="S15" i="62" s="1"/>
  <c r="U15" i="62" s="1"/>
  <c r="V15" i="62" s="1"/>
  <c r="V5" i="62"/>
  <c r="B6" i="61" l="1"/>
  <c r="B49" i="61" s="1"/>
  <c r="B90" i="61" s="1"/>
  <c r="O98" i="61"/>
  <c r="N98" i="61"/>
  <c r="M98" i="61"/>
  <c r="L98" i="61"/>
  <c r="K98" i="61"/>
  <c r="J98" i="61"/>
  <c r="I98" i="61"/>
  <c r="H98" i="61"/>
  <c r="G98" i="61"/>
  <c r="F98" i="61"/>
  <c r="E98" i="61"/>
  <c r="O57" i="61"/>
  <c r="N57" i="61"/>
  <c r="M57" i="61"/>
  <c r="L57" i="61"/>
  <c r="K57" i="61"/>
  <c r="J57" i="61"/>
  <c r="I57" i="61"/>
  <c r="H57" i="61"/>
  <c r="G57" i="61"/>
  <c r="F57" i="61"/>
  <c r="E57" i="61"/>
  <c r="O30" i="61"/>
  <c r="N30" i="61"/>
  <c r="M30" i="61"/>
  <c r="L30" i="61"/>
  <c r="K30" i="61"/>
  <c r="R30" i="61" s="1"/>
  <c r="J30" i="61"/>
  <c r="I30" i="61"/>
  <c r="H30" i="61"/>
  <c r="G30" i="61"/>
  <c r="F30" i="61"/>
  <c r="E30" i="61"/>
  <c r="O16" i="61"/>
  <c r="N16" i="61"/>
  <c r="M16" i="61"/>
  <c r="L16" i="61"/>
  <c r="K16" i="61"/>
  <c r="J16" i="61"/>
  <c r="I16" i="61"/>
  <c r="H16" i="61"/>
  <c r="G16" i="61"/>
  <c r="F16" i="61"/>
  <c r="E16" i="61"/>
  <c r="O125" i="61"/>
  <c r="N125" i="61"/>
  <c r="M125" i="61"/>
  <c r="L125" i="61"/>
  <c r="K125" i="61"/>
  <c r="J125" i="61"/>
  <c r="I125" i="61"/>
  <c r="H125" i="61"/>
  <c r="G125" i="61"/>
  <c r="F125" i="61"/>
  <c r="E125" i="61"/>
  <c r="D125" i="61"/>
  <c r="O124" i="61"/>
  <c r="N124" i="61"/>
  <c r="M124" i="61"/>
  <c r="L124" i="61"/>
  <c r="K124" i="61"/>
  <c r="J124" i="61"/>
  <c r="I124" i="61"/>
  <c r="H124" i="61"/>
  <c r="G124" i="61"/>
  <c r="F124" i="61"/>
  <c r="E124" i="61"/>
  <c r="D124" i="61"/>
  <c r="O119" i="61"/>
  <c r="N119" i="61"/>
  <c r="M119" i="61"/>
  <c r="S119" i="61" s="1"/>
  <c r="L119" i="61"/>
  <c r="K119" i="61"/>
  <c r="J119" i="61"/>
  <c r="R119" i="61" s="1"/>
  <c r="I119" i="61"/>
  <c r="H119" i="61"/>
  <c r="G119" i="61"/>
  <c r="F119" i="61"/>
  <c r="E119" i="61"/>
  <c r="D119" i="61"/>
  <c r="T118" i="61"/>
  <c r="S118" i="61"/>
  <c r="R118" i="61"/>
  <c r="Q118" i="61"/>
  <c r="P118" i="61"/>
  <c r="T117" i="61"/>
  <c r="S117" i="61"/>
  <c r="R117" i="61"/>
  <c r="Q117" i="61"/>
  <c r="P117" i="61"/>
  <c r="T116" i="61"/>
  <c r="S116" i="61"/>
  <c r="R116" i="61"/>
  <c r="Q116" i="61"/>
  <c r="P116" i="61"/>
  <c r="T115" i="61"/>
  <c r="S115" i="61"/>
  <c r="R115" i="61"/>
  <c r="Q115" i="61"/>
  <c r="P115" i="61"/>
  <c r="T114" i="61"/>
  <c r="S114" i="61"/>
  <c r="R114" i="61"/>
  <c r="Q114" i="61"/>
  <c r="P114" i="61"/>
  <c r="O112" i="61"/>
  <c r="N112" i="61"/>
  <c r="M112" i="61"/>
  <c r="L112" i="61"/>
  <c r="K112" i="61"/>
  <c r="J112" i="61"/>
  <c r="I112" i="61"/>
  <c r="H112" i="61"/>
  <c r="G112" i="61"/>
  <c r="F112" i="61"/>
  <c r="E112" i="61"/>
  <c r="D112" i="61"/>
  <c r="T111" i="61"/>
  <c r="S111" i="61"/>
  <c r="R111" i="61"/>
  <c r="Q111" i="61"/>
  <c r="P111" i="61"/>
  <c r="T110" i="61"/>
  <c r="S110" i="61"/>
  <c r="R110" i="61"/>
  <c r="Q110" i="61"/>
  <c r="P110" i="61"/>
  <c r="T109" i="61"/>
  <c r="S109" i="61"/>
  <c r="R109" i="61"/>
  <c r="Q109" i="61"/>
  <c r="P109" i="61"/>
  <c r="T108" i="61"/>
  <c r="S108" i="61"/>
  <c r="R108" i="61"/>
  <c r="Q108" i="61"/>
  <c r="P108" i="61"/>
  <c r="T107" i="61"/>
  <c r="S107" i="61"/>
  <c r="R107" i="61"/>
  <c r="Q107" i="61"/>
  <c r="P107" i="61"/>
  <c r="T104" i="61"/>
  <c r="S104" i="61"/>
  <c r="R104" i="61"/>
  <c r="Q104" i="61"/>
  <c r="P104" i="61"/>
  <c r="T103" i="61"/>
  <c r="S103" i="61"/>
  <c r="R103" i="61"/>
  <c r="Q103" i="61"/>
  <c r="P103" i="61"/>
  <c r="D98" i="61"/>
  <c r="T97" i="61"/>
  <c r="S97" i="61"/>
  <c r="R97" i="61"/>
  <c r="Q97" i="61"/>
  <c r="P97" i="61"/>
  <c r="T96" i="61"/>
  <c r="S96" i="61"/>
  <c r="R96" i="61"/>
  <c r="Q96" i="61"/>
  <c r="P96" i="61"/>
  <c r="T95" i="61"/>
  <c r="S95" i="61"/>
  <c r="R95" i="61"/>
  <c r="Q95" i="61"/>
  <c r="P95" i="61"/>
  <c r="T94" i="61"/>
  <c r="S94" i="61"/>
  <c r="R94" i="61"/>
  <c r="Q94" i="61"/>
  <c r="P94" i="61"/>
  <c r="T93" i="61"/>
  <c r="S93" i="61"/>
  <c r="R93" i="61"/>
  <c r="Q93" i="61"/>
  <c r="P93" i="61"/>
  <c r="U93" i="61"/>
  <c r="U94" i="61" s="1"/>
  <c r="U95" i="61" s="1"/>
  <c r="U96" i="61" s="1"/>
  <c r="U97" i="61" s="1"/>
  <c r="U100" i="61" s="1"/>
  <c r="U101" i="61" s="1"/>
  <c r="U102" i="61" s="1"/>
  <c r="U103" i="61" s="1"/>
  <c r="U104" i="61" s="1"/>
  <c r="U107" i="61" s="1"/>
  <c r="U108" i="61" s="1"/>
  <c r="U109" i="61" s="1"/>
  <c r="U110" i="61" s="1"/>
  <c r="U111" i="61" s="1"/>
  <c r="U114" i="61" s="1"/>
  <c r="U115" i="61" s="1"/>
  <c r="U116" i="61" s="1"/>
  <c r="U117" i="61" s="1"/>
  <c r="U118" i="61" s="1"/>
  <c r="T77" i="61"/>
  <c r="S77" i="61"/>
  <c r="R77" i="61"/>
  <c r="Q77" i="61"/>
  <c r="P77" i="61"/>
  <c r="T76" i="61"/>
  <c r="S76" i="61"/>
  <c r="R76" i="61"/>
  <c r="Q76" i="61"/>
  <c r="P76" i="61"/>
  <c r="O71" i="61"/>
  <c r="N71" i="61"/>
  <c r="M71" i="61"/>
  <c r="L71" i="61"/>
  <c r="K71" i="61"/>
  <c r="J71" i="61"/>
  <c r="I71" i="61"/>
  <c r="H71" i="61"/>
  <c r="G71" i="61"/>
  <c r="F71" i="61"/>
  <c r="E71" i="61"/>
  <c r="D71" i="61"/>
  <c r="T70" i="61"/>
  <c r="S70" i="61"/>
  <c r="R70" i="61"/>
  <c r="Q70" i="61"/>
  <c r="P70" i="61"/>
  <c r="T69" i="61"/>
  <c r="S69" i="61"/>
  <c r="R69" i="61"/>
  <c r="Q69" i="61"/>
  <c r="P69" i="61"/>
  <c r="T68" i="61"/>
  <c r="S68" i="61"/>
  <c r="R68" i="61"/>
  <c r="Q68" i="61"/>
  <c r="P68" i="61"/>
  <c r="T67" i="61"/>
  <c r="S67" i="61"/>
  <c r="R67" i="61"/>
  <c r="Q67" i="61"/>
  <c r="P67" i="61"/>
  <c r="T66" i="61"/>
  <c r="S66" i="61"/>
  <c r="R66" i="61"/>
  <c r="Q66" i="61"/>
  <c r="P66" i="61"/>
  <c r="D57" i="61"/>
  <c r="T56" i="61"/>
  <c r="S56" i="61"/>
  <c r="R56" i="61"/>
  <c r="Q56" i="61"/>
  <c r="P56" i="61"/>
  <c r="T55" i="61"/>
  <c r="S55" i="61"/>
  <c r="R55" i="61"/>
  <c r="Q55" i="61"/>
  <c r="P55" i="61"/>
  <c r="T54" i="61"/>
  <c r="S54" i="61"/>
  <c r="R54" i="61"/>
  <c r="Q54" i="61"/>
  <c r="P54" i="61"/>
  <c r="T53" i="61"/>
  <c r="S53" i="61"/>
  <c r="R53" i="61"/>
  <c r="Q53" i="61"/>
  <c r="P53" i="61"/>
  <c r="T52" i="61"/>
  <c r="S52" i="61"/>
  <c r="R52" i="61"/>
  <c r="Q52" i="61"/>
  <c r="P52" i="61"/>
  <c r="U52" i="61"/>
  <c r="U53" i="61" s="1"/>
  <c r="U54" i="61" s="1"/>
  <c r="U55" i="61" s="1"/>
  <c r="U56" i="61" s="1"/>
  <c r="U59" i="61" s="1"/>
  <c r="U60" i="61" s="1"/>
  <c r="U61" i="61" s="1"/>
  <c r="U62" i="61" s="1"/>
  <c r="U63" i="61" s="1"/>
  <c r="U66" i="61" s="1"/>
  <c r="U67" i="61" s="1"/>
  <c r="U68" i="61" s="1"/>
  <c r="U69" i="61" s="1"/>
  <c r="U70" i="61" s="1"/>
  <c r="U73" i="61" s="1"/>
  <c r="U74" i="61" s="1"/>
  <c r="U75" i="61" s="1"/>
  <c r="U76" i="61" s="1"/>
  <c r="U77" i="61" s="1"/>
  <c r="T36" i="61"/>
  <c r="S36" i="61"/>
  <c r="R36" i="61"/>
  <c r="Q36" i="61"/>
  <c r="P36" i="61"/>
  <c r="T35" i="61"/>
  <c r="S35" i="61"/>
  <c r="R35" i="61"/>
  <c r="Q35" i="61"/>
  <c r="P35" i="61"/>
  <c r="D30" i="61"/>
  <c r="T29" i="61"/>
  <c r="S29" i="61"/>
  <c r="R29" i="61"/>
  <c r="Q29" i="61"/>
  <c r="P29" i="61"/>
  <c r="T28" i="61"/>
  <c r="S28" i="61"/>
  <c r="R28" i="61"/>
  <c r="Q28" i="61"/>
  <c r="P28" i="61"/>
  <c r="T27" i="61"/>
  <c r="S27" i="61"/>
  <c r="R27" i="61"/>
  <c r="Q27" i="61"/>
  <c r="P27" i="61"/>
  <c r="T26" i="61"/>
  <c r="S26" i="61"/>
  <c r="R26" i="61"/>
  <c r="Q26" i="61"/>
  <c r="P26" i="61"/>
  <c r="T25" i="61"/>
  <c r="S25" i="61"/>
  <c r="R25" i="61"/>
  <c r="Q25" i="61"/>
  <c r="P25" i="61"/>
  <c r="Q16" i="61"/>
  <c r="D16" i="61"/>
  <c r="T15" i="61"/>
  <c r="S15" i="61"/>
  <c r="R15" i="61"/>
  <c r="Q15" i="61"/>
  <c r="P15" i="61"/>
  <c r="T14" i="61"/>
  <c r="S14" i="61"/>
  <c r="R14" i="61"/>
  <c r="Q14" i="61"/>
  <c r="P14" i="61"/>
  <c r="T13" i="61"/>
  <c r="S13" i="61"/>
  <c r="R13" i="61"/>
  <c r="Q13" i="61"/>
  <c r="P13" i="61"/>
  <c r="T12" i="61"/>
  <c r="S12" i="61"/>
  <c r="R12" i="61"/>
  <c r="Q12" i="61"/>
  <c r="P12" i="61"/>
  <c r="T11" i="61"/>
  <c r="S11" i="61"/>
  <c r="R11" i="61"/>
  <c r="Q11" i="61"/>
  <c r="P11" i="61"/>
  <c r="U9" i="61"/>
  <c r="U11" i="61" s="1"/>
  <c r="U12" i="61" s="1"/>
  <c r="U13" i="61" s="1"/>
  <c r="U14" i="61" s="1"/>
  <c r="U15" i="61" s="1"/>
  <c r="U18" i="61" s="1"/>
  <c r="U19" i="61" s="1"/>
  <c r="U20" i="61" s="1"/>
  <c r="U21" i="61" s="1"/>
  <c r="U22" i="61" s="1"/>
  <c r="U25" i="61" s="1"/>
  <c r="U26" i="61" s="1"/>
  <c r="U27" i="61" s="1"/>
  <c r="U28" i="61" s="1"/>
  <c r="U29" i="61" s="1"/>
  <c r="U32" i="61" s="1"/>
  <c r="U33" i="61" s="1"/>
  <c r="U34" i="61" s="1"/>
  <c r="U35" i="61" s="1"/>
  <c r="U36" i="61" s="1"/>
  <c r="S16" i="61" l="1"/>
  <c r="S57" i="61"/>
  <c r="P112" i="61"/>
  <c r="Q112" i="61"/>
  <c r="Q98" i="61"/>
  <c r="S98" i="61"/>
  <c r="S112" i="61"/>
  <c r="T125" i="61"/>
  <c r="P98" i="61"/>
  <c r="P124" i="61"/>
  <c r="S125" i="61"/>
  <c r="R57" i="61"/>
  <c r="T124" i="61"/>
  <c r="Q124" i="61"/>
  <c r="P125" i="61"/>
  <c r="T119" i="61"/>
  <c r="Q119" i="61"/>
  <c r="R124" i="61"/>
  <c r="Q125" i="61"/>
  <c r="R112" i="61"/>
  <c r="S124" i="61"/>
  <c r="R125" i="61"/>
  <c r="R98" i="61"/>
  <c r="T98" i="61"/>
  <c r="T112" i="61"/>
  <c r="P119" i="61"/>
  <c r="S71" i="61"/>
  <c r="R71" i="61"/>
  <c r="P71" i="61"/>
  <c r="Q71" i="61"/>
  <c r="P57" i="61"/>
  <c r="Q57" i="61"/>
  <c r="T57" i="61"/>
  <c r="T71" i="61"/>
  <c r="Q30" i="61"/>
  <c r="S30" i="61"/>
  <c r="T30" i="61"/>
  <c r="T16" i="61"/>
  <c r="R16" i="61"/>
  <c r="P16" i="61"/>
  <c r="P30" i="61"/>
  <c r="T89" i="60" l="1"/>
  <c r="S89" i="60"/>
  <c r="R89" i="60"/>
  <c r="Q89" i="60"/>
  <c r="P89" i="60"/>
  <c r="T88" i="60"/>
  <c r="S88" i="60"/>
  <c r="R88" i="60"/>
  <c r="Q88" i="60"/>
  <c r="P88" i="60"/>
  <c r="T87" i="60"/>
  <c r="S87" i="60"/>
  <c r="R87" i="60"/>
  <c r="Q87" i="60"/>
  <c r="P87" i="60"/>
  <c r="T86" i="60"/>
  <c r="S86" i="60"/>
  <c r="R86" i="60"/>
  <c r="Q86" i="60"/>
  <c r="P86" i="60"/>
  <c r="S85" i="60"/>
  <c r="R85" i="60"/>
  <c r="Q85" i="60"/>
  <c r="P85" i="60"/>
  <c r="T83" i="60"/>
  <c r="S83" i="60"/>
  <c r="R83" i="60"/>
  <c r="Q83" i="60"/>
  <c r="P83" i="60"/>
  <c r="T82" i="60"/>
  <c r="S82" i="60"/>
  <c r="R82" i="60"/>
  <c r="Q82" i="60"/>
  <c r="P82" i="60"/>
  <c r="T81" i="60"/>
  <c r="S81" i="60"/>
  <c r="R81" i="60"/>
  <c r="Q81" i="60"/>
  <c r="P81" i="60"/>
  <c r="T80" i="60"/>
  <c r="S80" i="60"/>
  <c r="R80" i="60"/>
  <c r="Q80" i="60"/>
  <c r="P80" i="60"/>
  <c r="S79" i="60"/>
  <c r="R79" i="60"/>
  <c r="Q79" i="60"/>
  <c r="P79" i="60"/>
  <c r="T71" i="60"/>
  <c r="S71" i="60"/>
  <c r="R71" i="60"/>
  <c r="Q71" i="60"/>
  <c r="P71" i="60"/>
  <c r="T70" i="60"/>
  <c r="S70" i="60"/>
  <c r="R70" i="60"/>
  <c r="Q70" i="60"/>
  <c r="P70" i="60"/>
  <c r="T69" i="60"/>
  <c r="S69" i="60"/>
  <c r="R69" i="60"/>
  <c r="Q69" i="60"/>
  <c r="P69" i="60"/>
  <c r="T68" i="60"/>
  <c r="S68" i="60"/>
  <c r="R68" i="60"/>
  <c r="Q68" i="60"/>
  <c r="P68" i="60"/>
  <c r="S67" i="60"/>
  <c r="R67" i="60"/>
  <c r="Q67" i="60"/>
  <c r="P67" i="60"/>
  <c r="U67" i="60"/>
  <c r="U68" i="60" s="1"/>
  <c r="U69" i="60" s="1"/>
  <c r="U70" i="60" s="1"/>
  <c r="U71" i="60" s="1"/>
  <c r="U73" i="60" s="1"/>
  <c r="U74" i="60" s="1"/>
  <c r="U75" i="60" s="1"/>
  <c r="U76" i="60" s="1"/>
  <c r="U77" i="60" s="1"/>
  <c r="U79" i="60" s="1"/>
  <c r="U80" i="60" s="1"/>
  <c r="U81" i="60" s="1"/>
  <c r="U82" i="60" s="1"/>
  <c r="U83" i="60" s="1"/>
  <c r="U85" i="60" s="1"/>
  <c r="U86" i="60" s="1"/>
  <c r="U87" i="60" s="1"/>
  <c r="U88" i="60" s="1"/>
  <c r="U89" i="60" s="1"/>
  <c r="B6" i="60"/>
  <c r="B35" i="60" s="1"/>
  <c r="T60" i="60"/>
  <c r="S60" i="60"/>
  <c r="R60" i="60"/>
  <c r="Q60" i="60"/>
  <c r="P60" i="60"/>
  <c r="T59" i="60"/>
  <c r="S59" i="60"/>
  <c r="R59" i="60"/>
  <c r="Q59" i="60"/>
  <c r="P59" i="60"/>
  <c r="T58" i="60"/>
  <c r="S58" i="60"/>
  <c r="R58" i="60"/>
  <c r="Q58" i="60"/>
  <c r="P58" i="60"/>
  <c r="T57" i="60"/>
  <c r="S57" i="60"/>
  <c r="R57" i="60"/>
  <c r="Q57" i="60"/>
  <c r="P57" i="60"/>
  <c r="S56" i="60"/>
  <c r="R56" i="60"/>
  <c r="Q56" i="60"/>
  <c r="P56" i="60"/>
  <c r="T56" i="60" s="1"/>
  <c r="T54" i="60"/>
  <c r="S54" i="60"/>
  <c r="R54" i="60"/>
  <c r="Q54" i="60"/>
  <c r="P54" i="60"/>
  <c r="T53" i="60"/>
  <c r="S53" i="60"/>
  <c r="R53" i="60"/>
  <c r="Q53" i="60"/>
  <c r="P53" i="60"/>
  <c r="T52" i="60"/>
  <c r="S52" i="60"/>
  <c r="R52" i="60"/>
  <c r="Q52" i="60"/>
  <c r="P52" i="60"/>
  <c r="T51" i="60"/>
  <c r="S51" i="60"/>
  <c r="R51" i="60"/>
  <c r="Q51" i="60"/>
  <c r="P51" i="60"/>
  <c r="S50" i="60"/>
  <c r="R50" i="60"/>
  <c r="Q50" i="60"/>
  <c r="P50" i="60"/>
  <c r="T50" i="60" s="1"/>
  <c r="T42" i="60"/>
  <c r="S42" i="60"/>
  <c r="R42" i="60"/>
  <c r="Q42" i="60"/>
  <c r="P42" i="60"/>
  <c r="T41" i="60"/>
  <c r="S41" i="60"/>
  <c r="R41" i="60"/>
  <c r="Q41" i="60"/>
  <c r="P41" i="60"/>
  <c r="T40" i="60"/>
  <c r="S40" i="60"/>
  <c r="R40" i="60"/>
  <c r="Q40" i="60"/>
  <c r="P40" i="60"/>
  <c r="T39" i="60"/>
  <c r="S39" i="60"/>
  <c r="R39" i="60"/>
  <c r="Q39" i="60"/>
  <c r="P39" i="60"/>
  <c r="S38" i="60"/>
  <c r="R38" i="60"/>
  <c r="Q38" i="60"/>
  <c r="P38" i="60"/>
  <c r="U38" i="60"/>
  <c r="U39" i="60" s="1"/>
  <c r="U40" i="60" s="1"/>
  <c r="U41" i="60" s="1"/>
  <c r="U42" i="60" s="1"/>
  <c r="U44" i="60" s="1"/>
  <c r="U45" i="60" s="1"/>
  <c r="U46" i="60" s="1"/>
  <c r="U47" i="60" s="1"/>
  <c r="U48" i="60" s="1"/>
  <c r="U50" i="60" s="1"/>
  <c r="U51" i="60" s="1"/>
  <c r="U52" i="60" s="1"/>
  <c r="U53" i="60" s="1"/>
  <c r="U54" i="60" s="1"/>
  <c r="U56" i="60" s="1"/>
  <c r="U57" i="60" s="1"/>
  <c r="U58" i="60" s="1"/>
  <c r="U59" i="60" s="1"/>
  <c r="U60" i="60" s="1"/>
  <c r="P9" i="60"/>
  <c r="Q9" i="60"/>
  <c r="R9" i="60"/>
  <c r="S9" i="60"/>
  <c r="P10" i="60"/>
  <c r="Q10" i="60"/>
  <c r="R10" i="60"/>
  <c r="S10" i="60"/>
  <c r="T10" i="60"/>
  <c r="P11" i="60"/>
  <c r="Q11" i="60"/>
  <c r="R11" i="60"/>
  <c r="S11" i="60"/>
  <c r="T11" i="60"/>
  <c r="P12" i="60"/>
  <c r="Q12" i="60"/>
  <c r="R12" i="60"/>
  <c r="S12" i="60"/>
  <c r="T12" i="60"/>
  <c r="P13" i="60"/>
  <c r="Q13" i="60"/>
  <c r="R13" i="60"/>
  <c r="S13" i="60"/>
  <c r="T13" i="60"/>
  <c r="T31" i="60"/>
  <c r="S31" i="60"/>
  <c r="R31" i="60"/>
  <c r="Q31" i="60"/>
  <c r="P31" i="60"/>
  <c r="T30" i="60"/>
  <c r="S30" i="60"/>
  <c r="R30" i="60"/>
  <c r="Q30" i="60"/>
  <c r="P30" i="60"/>
  <c r="T29" i="60"/>
  <c r="S29" i="60"/>
  <c r="R29" i="60"/>
  <c r="Q29" i="60"/>
  <c r="P29" i="60"/>
  <c r="T28" i="60"/>
  <c r="S28" i="60"/>
  <c r="R28" i="60"/>
  <c r="Q28" i="60"/>
  <c r="P28" i="60"/>
  <c r="S27" i="60"/>
  <c r="R27" i="60"/>
  <c r="Q27" i="60"/>
  <c r="P27" i="60"/>
  <c r="T25" i="60"/>
  <c r="S25" i="60"/>
  <c r="R25" i="60"/>
  <c r="Q25" i="60"/>
  <c r="P25" i="60"/>
  <c r="T24" i="60"/>
  <c r="S24" i="60"/>
  <c r="R24" i="60"/>
  <c r="Q24" i="60"/>
  <c r="P24" i="60"/>
  <c r="T23" i="60"/>
  <c r="S23" i="60"/>
  <c r="R23" i="60"/>
  <c r="Q23" i="60"/>
  <c r="P23" i="60"/>
  <c r="T22" i="60"/>
  <c r="S22" i="60"/>
  <c r="R22" i="60"/>
  <c r="Q22" i="60"/>
  <c r="P22" i="60"/>
  <c r="S21" i="60"/>
  <c r="R21" i="60"/>
  <c r="Q21" i="60"/>
  <c r="P21" i="60"/>
  <c r="U9" i="60"/>
  <c r="U10" i="60" s="1"/>
  <c r="U11" i="60" s="1"/>
  <c r="U12" i="60" s="1"/>
  <c r="U13" i="60" s="1"/>
  <c r="U15" i="60" s="1"/>
  <c r="U16" i="60" s="1"/>
  <c r="U17" i="60" s="1"/>
  <c r="U18" i="60" s="1"/>
  <c r="U19" i="60" s="1"/>
  <c r="U21" i="60" s="1"/>
  <c r="U22" i="60" s="1"/>
  <c r="U23" i="60" s="1"/>
  <c r="U24" i="60" s="1"/>
  <c r="U25" i="60" s="1"/>
  <c r="U27" i="60" s="1"/>
  <c r="U28" i="60" s="1"/>
  <c r="U29" i="60" s="1"/>
  <c r="U30" i="60" s="1"/>
  <c r="U31" i="60" s="1"/>
  <c r="B64" i="60" l="1"/>
  <c r="T79" i="60"/>
  <c r="T85" i="60"/>
  <c r="T67" i="60"/>
  <c r="T38" i="60"/>
  <c r="T9" i="60"/>
  <c r="T21" i="60"/>
  <c r="T27" i="60"/>
  <c r="C50" i="52" l="1"/>
  <c r="D62" i="61" s="1"/>
  <c r="N50" i="52"/>
  <c r="O62" i="61" s="1"/>
  <c r="O83" i="61" s="1"/>
  <c r="M50" i="52"/>
  <c r="N62" i="61" s="1"/>
  <c r="N83" i="61" s="1"/>
  <c r="L50" i="52"/>
  <c r="M62" i="61" s="1"/>
  <c r="K50" i="52"/>
  <c r="L62" i="61" s="1"/>
  <c r="L83" i="61" s="1"/>
  <c r="J50" i="52"/>
  <c r="K62" i="61" s="1"/>
  <c r="K83" i="61" s="1"/>
  <c r="I50" i="52"/>
  <c r="J62" i="61" s="1"/>
  <c r="H50" i="52"/>
  <c r="I62" i="61" s="1"/>
  <c r="I83" i="61" s="1"/>
  <c r="G50" i="52"/>
  <c r="H62" i="61" s="1"/>
  <c r="H83" i="61" s="1"/>
  <c r="F50" i="52"/>
  <c r="G62" i="61" s="1"/>
  <c r="E50" i="52"/>
  <c r="F62" i="61" s="1"/>
  <c r="F83" i="61" s="1"/>
  <c r="D50" i="52"/>
  <c r="E62" i="61" s="1"/>
  <c r="E83" i="61" s="1"/>
  <c r="L23" i="47"/>
  <c r="K23" i="47"/>
  <c r="J23" i="47"/>
  <c r="I23" i="47"/>
  <c r="H23" i="47"/>
  <c r="G23" i="47"/>
  <c r="F23" i="47"/>
  <c r="E23" i="47"/>
  <c r="D23" i="47"/>
  <c r="C23" i="47"/>
  <c r="CP63" i="59"/>
  <c r="N23" i="47"/>
  <c r="M23" i="47"/>
  <c r="N48" i="52"/>
  <c r="M48" i="52"/>
  <c r="L48" i="52"/>
  <c r="K48" i="52"/>
  <c r="J48" i="52"/>
  <c r="I48" i="52"/>
  <c r="H48" i="52"/>
  <c r="G48" i="52"/>
  <c r="F48" i="52"/>
  <c r="E48" i="52"/>
  <c r="D48" i="52"/>
  <c r="C48" i="52"/>
  <c r="N47" i="52"/>
  <c r="M47" i="52"/>
  <c r="L47" i="52"/>
  <c r="K47" i="52"/>
  <c r="J47" i="52"/>
  <c r="I47" i="52"/>
  <c r="H47" i="52"/>
  <c r="G47" i="52"/>
  <c r="F47" i="52"/>
  <c r="E47" i="52"/>
  <c r="D47" i="52"/>
  <c r="C47" i="52"/>
  <c r="CP82" i="59"/>
  <c r="CP83" i="59"/>
  <c r="CP84" i="59"/>
  <c r="H9" i="26"/>
  <c r="D83" i="61" l="1"/>
  <c r="T62" i="61"/>
  <c r="T83" i="61" s="1"/>
  <c r="P62" i="61"/>
  <c r="P83" i="61" s="1"/>
  <c r="S62" i="61"/>
  <c r="S83" i="61" s="1"/>
  <c r="M83" i="61"/>
  <c r="J83" i="61"/>
  <c r="R62" i="61"/>
  <c r="R83" i="61" s="1"/>
  <c r="G83" i="61"/>
  <c r="Q62" i="61"/>
  <c r="Q83" i="61" s="1"/>
  <c r="N4" i="56" l="1"/>
  <c r="AT16" i="36"/>
  <c r="AS13" i="36"/>
  <c r="AU13" i="36" s="1"/>
  <c r="AS14" i="36"/>
  <c r="AU14" i="36" s="1"/>
  <c r="AS15" i="36"/>
  <c r="AU15" i="36" s="1"/>
  <c r="M10" i="62"/>
  <c r="AS17" i="36"/>
  <c r="AT17" i="36"/>
  <c r="AS18" i="36"/>
  <c r="AT18" i="36"/>
  <c r="AS19" i="36"/>
  <c r="AU19" i="36" s="1"/>
  <c r="AS20" i="36"/>
  <c r="AU20" i="36" s="1"/>
  <c r="AS21" i="36"/>
  <c r="AU21" i="36" s="1"/>
  <c r="AS22" i="36"/>
  <c r="AT22" i="36"/>
  <c r="AS26" i="36"/>
  <c r="AU26" i="36" s="1"/>
  <c r="AS27" i="36"/>
  <c r="AU27" i="36" s="1"/>
  <c r="AS28" i="36"/>
  <c r="AU28" i="36" s="1"/>
  <c r="AS29" i="36"/>
  <c r="AU29" i="36" s="1"/>
  <c r="AS30" i="36"/>
  <c r="AU30" i="36" s="1"/>
  <c r="AU31" i="36"/>
  <c r="AS32" i="36"/>
  <c r="AU32" i="36" s="1"/>
  <c r="AS33" i="36"/>
  <c r="AU33" i="36" s="1"/>
  <c r="AS34" i="36"/>
  <c r="AU34" i="36" s="1"/>
  <c r="AS35" i="36"/>
  <c r="AU35" i="36" s="1"/>
  <c r="AS36" i="36"/>
  <c r="AU36" i="36" s="1"/>
  <c r="AS37" i="36"/>
  <c r="AU37" i="36" s="1"/>
  <c r="AS38" i="36"/>
  <c r="AU38" i="36" s="1"/>
  <c r="AS39" i="36"/>
  <c r="AU39" i="36" s="1"/>
  <c r="AS40" i="36"/>
  <c r="AU40" i="36" s="1"/>
  <c r="AS41" i="36"/>
  <c r="AU41" i="36" s="1"/>
  <c r="AS42" i="36"/>
  <c r="AU42" i="36" s="1"/>
  <c r="AS43" i="36"/>
  <c r="AU43" i="36" s="1"/>
  <c r="AS44" i="36"/>
  <c r="AU44" i="36" s="1"/>
  <c r="AS45" i="36"/>
  <c r="AU45" i="36" s="1"/>
  <c r="AS46" i="36"/>
  <c r="AU46" i="36" s="1"/>
  <c r="AS47" i="36"/>
  <c r="AU47" i="36" s="1"/>
  <c r="AS48" i="36"/>
  <c r="AU48" i="36" s="1"/>
  <c r="AS49" i="36"/>
  <c r="AU49" i="36" s="1"/>
  <c r="AS50" i="36"/>
  <c r="AU50" i="36" s="1"/>
  <c r="AS51" i="36"/>
  <c r="AU51" i="36" s="1"/>
  <c r="AU17" i="36" l="1"/>
  <c r="AU25" i="36"/>
  <c r="AU22" i="36"/>
  <c r="M11" i="62"/>
  <c r="M12" i="62" s="1"/>
  <c r="M17" i="62" s="1"/>
  <c r="AT54" i="36"/>
  <c r="AU24" i="36"/>
  <c r="AU23" i="36"/>
  <c r="AU16" i="36"/>
  <c r="M13" i="62"/>
  <c r="AU18" i="36"/>
  <c r="AS54" i="36"/>
  <c r="N63" i="47"/>
  <c r="M63" i="47"/>
  <c r="L63" i="47"/>
  <c r="K63" i="47"/>
  <c r="J63" i="47"/>
  <c r="I63" i="47"/>
  <c r="H63" i="47"/>
  <c r="G63" i="47"/>
  <c r="F63" i="47"/>
  <c r="E63" i="47"/>
  <c r="D63" i="47"/>
  <c r="C63" i="47"/>
  <c r="CP110" i="59"/>
  <c r="N6" i="47"/>
  <c r="N127" i="47" s="1"/>
  <c r="M6" i="47"/>
  <c r="M127" i="47" s="1"/>
  <c r="L6" i="47"/>
  <c r="L127" i="47" s="1"/>
  <c r="K6" i="47"/>
  <c r="K127" i="47" s="1"/>
  <c r="J6" i="47"/>
  <c r="J127" i="47" s="1"/>
  <c r="I6" i="47"/>
  <c r="I127" i="47" s="1"/>
  <c r="H6" i="47"/>
  <c r="H127" i="47" s="1"/>
  <c r="G6" i="47"/>
  <c r="G127" i="47" s="1"/>
  <c r="F6" i="47"/>
  <c r="F127" i="47" s="1"/>
  <c r="E6" i="47"/>
  <c r="E127" i="47" s="1"/>
  <c r="D6" i="47"/>
  <c r="D127" i="47" s="1"/>
  <c r="C6" i="47"/>
  <c r="N5" i="47"/>
  <c r="M5" i="47"/>
  <c r="L5" i="47"/>
  <c r="K5" i="47"/>
  <c r="J5" i="47"/>
  <c r="I5" i="47"/>
  <c r="H5" i="47"/>
  <c r="G5" i="47"/>
  <c r="F5" i="47"/>
  <c r="E5" i="47"/>
  <c r="D5" i="47"/>
  <c r="C5" i="47"/>
  <c r="N4" i="47"/>
  <c r="M4" i="47"/>
  <c r="L4" i="47"/>
  <c r="K4" i="47"/>
  <c r="J4" i="47"/>
  <c r="I4" i="47"/>
  <c r="H4" i="47"/>
  <c r="G4" i="47"/>
  <c r="F4" i="47"/>
  <c r="E4" i="47"/>
  <c r="D4" i="47"/>
  <c r="C4" i="47"/>
  <c r="CP109" i="59"/>
  <c r="CP108" i="59"/>
  <c r="CP107" i="59"/>
  <c r="N25" i="47"/>
  <c r="N24" i="47"/>
  <c r="N21" i="47"/>
  <c r="N20" i="47"/>
  <c r="N19" i="47"/>
  <c r="N17" i="47"/>
  <c r="N16" i="47"/>
  <c r="N15" i="47"/>
  <c r="N9" i="47"/>
  <c r="N8" i="47"/>
  <c r="N7" i="47"/>
  <c r="M7" i="47"/>
  <c r="M8" i="47"/>
  <c r="M9" i="47"/>
  <c r="M15" i="47"/>
  <c r="M16" i="47"/>
  <c r="M17" i="47"/>
  <c r="M19" i="47"/>
  <c r="M20" i="47"/>
  <c r="M21" i="47"/>
  <c r="M24" i="47"/>
  <c r="M25" i="47"/>
  <c r="L25" i="47"/>
  <c r="L24" i="47"/>
  <c r="L21" i="47"/>
  <c r="L20" i="47"/>
  <c r="L19" i="47"/>
  <c r="L17" i="47"/>
  <c r="L16" i="47"/>
  <c r="L15" i="47"/>
  <c r="L9" i="47"/>
  <c r="L8" i="47"/>
  <c r="L7" i="47"/>
  <c r="K25" i="47"/>
  <c r="K24" i="47"/>
  <c r="K21" i="47"/>
  <c r="K20" i="47"/>
  <c r="K19" i="47"/>
  <c r="K17" i="47"/>
  <c r="K16" i="47"/>
  <c r="K15" i="47"/>
  <c r="K9" i="47"/>
  <c r="K8" i="47"/>
  <c r="K7" i="47"/>
  <c r="J7" i="47"/>
  <c r="J8" i="47"/>
  <c r="J9" i="47"/>
  <c r="J15" i="47"/>
  <c r="J16" i="47"/>
  <c r="J17" i="47"/>
  <c r="J19" i="47"/>
  <c r="J20" i="47"/>
  <c r="J21" i="47"/>
  <c r="J24" i="47"/>
  <c r="J25" i="47"/>
  <c r="I25" i="47"/>
  <c r="I24" i="47"/>
  <c r="I21" i="47"/>
  <c r="I20" i="47"/>
  <c r="I19" i="47"/>
  <c r="I17" i="47"/>
  <c r="I16" i="47"/>
  <c r="I15" i="47"/>
  <c r="I9" i="47"/>
  <c r="I8" i="47"/>
  <c r="I7" i="47"/>
  <c r="H25" i="47"/>
  <c r="H24" i="47"/>
  <c r="H21" i="47"/>
  <c r="H20" i="47"/>
  <c r="H19" i="47"/>
  <c r="H17" i="47"/>
  <c r="H16" i="47"/>
  <c r="H15" i="47"/>
  <c r="H9" i="47"/>
  <c r="H8" i="47"/>
  <c r="H7" i="47"/>
  <c r="G25" i="47"/>
  <c r="G24" i="47"/>
  <c r="G21" i="47"/>
  <c r="G20" i="47"/>
  <c r="G19" i="47"/>
  <c r="G17" i="47"/>
  <c r="G16" i="47"/>
  <c r="G15" i="47"/>
  <c r="G9" i="47"/>
  <c r="G8" i="47"/>
  <c r="G7" i="47"/>
  <c r="F9" i="47"/>
  <c r="F8" i="47"/>
  <c r="F7" i="47"/>
  <c r="F17" i="47"/>
  <c r="F16" i="47"/>
  <c r="F15" i="47"/>
  <c r="F21" i="47"/>
  <c r="F20" i="47"/>
  <c r="F19" i="47"/>
  <c r="F25" i="47"/>
  <c r="F24" i="47"/>
  <c r="E25" i="47"/>
  <c r="E24" i="47"/>
  <c r="E21" i="47"/>
  <c r="E20" i="47"/>
  <c r="E19" i="47"/>
  <c r="E17" i="47"/>
  <c r="E16" i="47"/>
  <c r="E15" i="47"/>
  <c r="E9" i="47"/>
  <c r="E8" i="47"/>
  <c r="E7" i="47"/>
  <c r="D25" i="47"/>
  <c r="D24" i="47"/>
  <c r="D21" i="47"/>
  <c r="D20" i="47"/>
  <c r="D19" i="47"/>
  <c r="D17" i="47"/>
  <c r="D16" i="47"/>
  <c r="D15" i="47"/>
  <c r="D9" i="47"/>
  <c r="D8" i="47"/>
  <c r="D7" i="47"/>
  <c r="C15" i="47"/>
  <c r="C16" i="47"/>
  <c r="C17" i="47"/>
  <c r="AU54" i="36" l="1"/>
  <c r="M14" i="62"/>
  <c r="M16" i="62" s="1"/>
  <c r="N46" i="56"/>
  <c r="M46" i="56"/>
  <c r="L46" i="56"/>
  <c r="K46" i="56"/>
  <c r="J46" i="56"/>
  <c r="I46" i="56"/>
  <c r="H46" i="56"/>
  <c r="G46" i="56"/>
  <c r="F46" i="56"/>
  <c r="E46" i="56"/>
  <c r="D46" i="56"/>
  <c r="C46" i="56"/>
  <c r="CP106" i="59"/>
  <c r="N34" i="56"/>
  <c r="M34" i="56"/>
  <c r="L34" i="56"/>
  <c r="K34" i="56"/>
  <c r="J34" i="56"/>
  <c r="I34" i="56"/>
  <c r="H34" i="56"/>
  <c r="G34" i="56"/>
  <c r="F34" i="56"/>
  <c r="E34" i="56"/>
  <c r="D34" i="56"/>
  <c r="C34" i="56"/>
  <c r="CP105" i="59"/>
  <c r="CP104" i="59"/>
  <c r="CP103" i="59"/>
  <c r="CP102" i="59"/>
  <c r="N6" i="56"/>
  <c r="M6" i="56"/>
  <c r="L6" i="56"/>
  <c r="K6" i="56"/>
  <c r="J6" i="56"/>
  <c r="I6" i="56"/>
  <c r="H6" i="56"/>
  <c r="G6" i="56"/>
  <c r="F6" i="56"/>
  <c r="E6" i="56"/>
  <c r="D6" i="56"/>
  <c r="C6" i="56"/>
  <c r="N5" i="56"/>
  <c r="M5" i="56"/>
  <c r="L5" i="56"/>
  <c r="K5" i="56"/>
  <c r="J5" i="56"/>
  <c r="I5" i="56"/>
  <c r="H5" i="56"/>
  <c r="G5" i="56"/>
  <c r="F5" i="56"/>
  <c r="E5" i="56"/>
  <c r="D5" i="56"/>
  <c r="C5" i="56"/>
  <c r="M4" i="56"/>
  <c r="L4" i="56"/>
  <c r="K4" i="56"/>
  <c r="J4" i="56"/>
  <c r="I4" i="56"/>
  <c r="H4" i="56"/>
  <c r="G4" i="56"/>
  <c r="F4" i="56"/>
  <c r="E4" i="56"/>
  <c r="D4" i="56"/>
  <c r="C4" i="56"/>
  <c r="N11" i="56"/>
  <c r="N10" i="56"/>
  <c r="N9" i="56"/>
  <c r="N3" i="56"/>
  <c r="N33" i="56"/>
  <c r="N11" i="22" s="1"/>
  <c r="N45" i="56"/>
  <c r="M45" i="56"/>
  <c r="M33" i="56"/>
  <c r="M11" i="22" s="1"/>
  <c r="M11" i="56"/>
  <c r="M10" i="56"/>
  <c r="M9" i="56"/>
  <c r="M3" i="56"/>
  <c r="L45" i="56"/>
  <c r="L33" i="56"/>
  <c r="L11" i="56"/>
  <c r="L10" i="56"/>
  <c r="L9" i="56"/>
  <c r="L3" i="56"/>
  <c r="K3" i="56"/>
  <c r="K11" i="56"/>
  <c r="K10" i="56"/>
  <c r="K9" i="56"/>
  <c r="K33" i="56"/>
  <c r="K11" i="22" s="1"/>
  <c r="K45" i="56"/>
  <c r="J45" i="56"/>
  <c r="J33" i="56"/>
  <c r="J11" i="22" s="1"/>
  <c r="J11" i="56"/>
  <c r="J10" i="56"/>
  <c r="J9" i="56"/>
  <c r="J3" i="56"/>
  <c r="I45" i="56"/>
  <c r="I33" i="56"/>
  <c r="I11" i="22" s="1"/>
  <c r="I11" i="56"/>
  <c r="I10" i="56"/>
  <c r="I9" i="56"/>
  <c r="I3" i="56"/>
  <c r="H45" i="56"/>
  <c r="H33" i="56"/>
  <c r="H11" i="22" s="1"/>
  <c r="H11" i="56"/>
  <c r="H10" i="56"/>
  <c r="H9" i="56"/>
  <c r="H3" i="56"/>
  <c r="G45" i="56"/>
  <c r="G33" i="56"/>
  <c r="G11" i="22" s="1"/>
  <c r="G11" i="56"/>
  <c r="G10" i="56"/>
  <c r="G9" i="56"/>
  <c r="G3" i="56"/>
  <c r="F45" i="56"/>
  <c r="F33" i="56"/>
  <c r="F11" i="22" s="1"/>
  <c r="F11" i="56"/>
  <c r="F10" i="56"/>
  <c r="F9" i="56"/>
  <c r="F3" i="56"/>
  <c r="E3" i="56"/>
  <c r="E11" i="56"/>
  <c r="E10" i="56"/>
  <c r="E9" i="56"/>
  <c r="E33" i="56"/>
  <c r="E11" i="22" s="1"/>
  <c r="E45" i="56"/>
  <c r="D3" i="56"/>
  <c r="D11" i="56"/>
  <c r="D10" i="56"/>
  <c r="D9" i="56"/>
  <c r="D33" i="56"/>
  <c r="D11" i="22" s="1"/>
  <c r="D45" i="56"/>
  <c r="N7" i="56"/>
  <c r="M7" i="56"/>
  <c r="L7" i="56"/>
  <c r="K7" i="56"/>
  <c r="J7" i="56"/>
  <c r="I7" i="56"/>
  <c r="H7" i="56"/>
  <c r="G7" i="56"/>
  <c r="F7" i="56"/>
  <c r="E7" i="56"/>
  <c r="D7" i="56"/>
  <c r="L62" i="47" l="1"/>
  <c r="M50" i="61" s="1"/>
  <c r="L11" i="22"/>
  <c r="CP69" i="59"/>
  <c r="CP68" i="59"/>
  <c r="CP67" i="59"/>
  <c r="CP66" i="59"/>
  <c r="CP65" i="59"/>
  <c r="CP64" i="59"/>
  <c r="CO61" i="59"/>
  <c r="CN61" i="59"/>
  <c r="CM61" i="59"/>
  <c r="CL61" i="59"/>
  <c r="CK61" i="59"/>
  <c r="CO60" i="59"/>
  <c r="CN60" i="59"/>
  <c r="CM60" i="59"/>
  <c r="CL60" i="59"/>
  <c r="CK60" i="59"/>
  <c r="CO59" i="59"/>
  <c r="CN59" i="59"/>
  <c r="CM59" i="59"/>
  <c r="CL59" i="59"/>
  <c r="CK59" i="59"/>
  <c r="CO58" i="59"/>
  <c r="CN58" i="59"/>
  <c r="CM58" i="59"/>
  <c r="CL58" i="59"/>
  <c r="CK58" i="59"/>
  <c r="CO57" i="59"/>
  <c r="CN57" i="59"/>
  <c r="CM57" i="59"/>
  <c r="CL57" i="59"/>
  <c r="CK57" i="59"/>
  <c r="CO56" i="59"/>
  <c r="CN56" i="59"/>
  <c r="CM56" i="59"/>
  <c r="CL56" i="59"/>
  <c r="CK56" i="59"/>
  <c r="CO54" i="59"/>
  <c r="CN54" i="59"/>
  <c r="CM54" i="59"/>
  <c r="CL54" i="59"/>
  <c r="CK54" i="59"/>
  <c r="CP52" i="59"/>
  <c r="CP51" i="59"/>
  <c r="CP50" i="59"/>
  <c r="CP48" i="59"/>
  <c r="CP47" i="59"/>
  <c r="CP46" i="59"/>
  <c r="CP44" i="59"/>
  <c r="CP43" i="59"/>
  <c r="CP42" i="59"/>
  <c r="CO40" i="59"/>
  <c r="CN40" i="59"/>
  <c r="CM40" i="59"/>
  <c r="CL40" i="59"/>
  <c r="CK40" i="59"/>
  <c r="CO39" i="59"/>
  <c r="CN39" i="59"/>
  <c r="CM39" i="59"/>
  <c r="CL39" i="59"/>
  <c r="CK39" i="59"/>
  <c r="CO38" i="59"/>
  <c r="CN38" i="59"/>
  <c r="CM38" i="59"/>
  <c r="CL38" i="59"/>
  <c r="CK38" i="59"/>
  <c r="CO37" i="59"/>
  <c r="CN37" i="59"/>
  <c r="CM37" i="59"/>
  <c r="CL37" i="59"/>
  <c r="CK37" i="59"/>
  <c r="CP31" i="59"/>
  <c r="CP30" i="59"/>
  <c r="CP29" i="59"/>
  <c r="CP28" i="59"/>
  <c r="CO26" i="59"/>
  <c r="CN26" i="59"/>
  <c r="CM26" i="59"/>
  <c r="CL26" i="59"/>
  <c r="CK26" i="59"/>
  <c r="CO25" i="59"/>
  <c r="CN25" i="59"/>
  <c r="CM25" i="59"/>
  <c r="CL25" i="59"/>
  <c r="CK25" i="59"/>
  <c r="CO23" i="59"/>
  <c r="CN23" i="59"/>
  <c r="CM23" i="59"/>
  <c r="CL23" i="59"/>
  <c r="CK23" i="59"/>
  <c r="CO21" i="59"/>
  <c r="CN21" i="59"/>
  <c r="CM21" i="59"/>
  <c r="CL21" i="59"/>
  <c r="CO20" i="59"/>
  <c r="CN20" i="59"/>
  <c r="CM20" i="59"/>
  <c r="CL20" i="59"/>
  <c r="CO19" i="59"/>
  <c r="CN19" i="59"/>
  <c r="CM19" i="59"/>
  <c r="CL19" i="59"/>
  <c r="CO18" i="59"/>
  <c r="CN18" i="59"/>
  <c r="CM18" i="59"/>
  <c r="CL18" i="59"/>
  <c r="CO17" i="59"/>
  <c r="CN17" i="59"/>
  <c r="CM17" i="59"/>
  <c r="CL17" i="59"/>
  <c r="CP75" i="59"/>
  <c r="CP74" i="59"/>
  <c r="CK17" i="59"/>
  <c r="CI61" i="59"/>
  <c r="N40" i="56" s="1"/>
  <c r="N12" i="22" s="1"/>
  <c r="CI60" i="59"/>
  <c r="N37" i="56" s="1"/>
  <c r="CI59" i="59"/>
  <c r="N35" i="56" s="1"/>
  <c r="N13" i="22" s="1"/>
  <c r="CI58" i="59"/>
  <c r="N39" i="56" s="1"/>
  <c r="CI57" i="59"/>
  <c r="N38" i="56" s="1"/>
  <c r="CI56" i="59"/>
  <c r="N36" i="56" s="1"/>
  <c r="N14" i="22" s="1"/>
  <c r="N84" i="47"/>
  <c r="CI54" i="59"/>
  <c r="N80" i="47" s="1"/>
  <c r="CI40" i="59"/>
  <c r="N64" i="47" s="1"/>
  <c r="CI39" i="59"/>
  <c r="N72" i="47" s="1"/>
  <c r="CI38" i="59"/>
  <c r="N68" i="47" s="1"/>
  <c r="CI37" i="59"/>
  <c r="N76" i="47" s="1"/>
  <c r="CI35" i="59"/>
  <c r="N16" i="56" s="1"/>
  <c r="CI34" i="59"/>
  <c r="N14" i="56" s="1"/>
  <c r="CI26" i="59"/>
  <c r="N49" i="56" s="1"/>
  <c r="CI25" i="59"/>
  <c r="N47" i="56" s="1"/>
  <c r="CI23" i="59"/>
  <c r="CI21" i="59"/>
  <c r="N39" i="52" s="1"/>
  <c r="CI20" i="59"/>
  <c r="N33" i="52" s="1"/>
  <c r="CI19" i="59"/>
  <c r="N45" i="52" s="1"/>
  <c r="CI18" i="59"/>
  <c r="N42" i="52" s="1"/>
  <c r="CI17" i="59"/>
  <c r="N36" i="52" s="1"/>
  <c r="CB61" i="59"/>
  <c r="M40" i="56" s="1"/>
  <c r="M12" i="22" s="1"/>
  <c r="CB60" i="59"/>
  <c r="M37" i="56" s="1"/>
  <c r="CB59" i="59"/>
  <c r="M35" i="56" s="1"/>
  <c r="M13" i="22" s="1"/>
  <c r="CB58" i="59"/>
  <c r="M39" i="56" s="1"/>
  <c r="CB57" i="59"/>
  <c r="M38" i="56" s="1"/>
  <c r="CB56" i="59"/>
  <c r="M36" i="56" s="1"/>
  <c r="M14" i="22" s="1"/>
  <c r="M84" i="47"/>
  <c r="CB54" i="59"/>
  <c r="M80" i="47" s="1"/>
  <c r="CB40" i="59"/>
  <c r="M64" i="47" s="1"/>
  <c r="CB39" i="59"/>
  <c r="M72" i="47" s="1"/>
  <c r="CB38" i="59"/>
  <c r="M68" i="47" s="1"/>
  <c r="CB37" i="59"/>
  <c r="M76" i="47" s="1"/>
  <c r="CB35" i="59"/>
  <c r="M16" i="56" s="1"/>
  <c r="CB34" i="59"/>
  <c r="M14" i="56" s="1"/>
  <c r="CB26" i="59"/>
  <c r="M49" i="56" s="1"/>
  <c r="CB25" i="59"/>
  <c r="M47" i="56" s="1"/>
  <c r="CB23" i="59"/>
  <c r="CB21" i="59"/>
  <c r="M39" i="52" s="1"/>
  <c r="CB20" i="59"/>
  <c r="M33" i="52" s="1"/>
  <c r="CB19" i="59"/>
  <c r="M45" i="52" s="1"/>
  <c r="CB18" i="59"/>
  <c r="M42" i="52" s="1"/>
  <c r="CB17" i="59"/>
  <c r="M36" i="52" s="1"/>
  <c r="BU61" i="59"/>
  <c r="L40" i="56" s="1"/>
  <c r="L12" i="22" s="1"/>
  <c r="BU60" i="59"/>
  <c r="L37" i="56" s="1"/>
  <c r="BU59" i="59"/>
  <c r="L35" i="56" s="1"/>
  <c r="L13" i="22" s="1"/>
  <c r="BU58" i="59"/>
  <c r="L39" i="56" s="1"/>
  <c r="BU57" i="59"/>
  <c r="L38" i="56" s="1"/>
  <c r="BU56" i="59"/>
  <c r="L36" i="56" s="1"/>
  <c r="L14" i="22" s="1"/>
  <c r="L84" i="47"/>
  <c r="BU54" i="59"/>
  <c r="L80" i="47" s="1"/>
  <c r="BU40" i="59"/>
  <c r="L64" i="47" s="1"/>
  <c r="BU39" i="59"/>
  <c r="L72" i="47" s="1"/>
  <c r="BU38" i="59"/>
  <c r="L68" i="47" s="1"/>
  <c r="BU37" i="59"/>
  <c r="L76" i="47" s="1"/>
  <c r="BU35" i="59"/>
  <c r="L16" i="56" s="1"/>
  <c r="BU34" i="59"/>
  <c r="L14" i="56" s="1"/>
  <c r="BU26" i="59"/>
  <c r="L49" i="56" s="1"/>
  <c r="BU25" i="59"/>
  <c r="L47" i="56" s="1"/>
  <c r="BU23" i="59"/>
  <c r="BU21" i="59"/>
  <c r="L39" i="52" s="1"/>
  <c r="BU20" i="59"/>
  <c r="L33" i="52" s="1"/>
  <c r="BU19" i="59"/>
  <c r="L45" i="52" s="1"/>
  <c r="BU18" i="59"/>
  <c r="L42" i="52" s="1"/>
  <c r="BU17" i="59"/>
  <c r="L36" i="52" s="1"/>
  <c r="BN61" i="59"/>
  <c r="K40" i="56" s="1"/>
  <c r="K12" i="22" s="1"/>
  <c r="BN60" i="59"/>
  <c r="K37" i="56" s="1"/>
  <c r="BN59" i="59"/>
  <c r="K35" i="56" s="1"/>
  <c r="K13" i="22" s="1"/>
  <c r="BN58" i="59"/>
  <c r="K39" i="56" s="1"/>
  <c r="BN57" i="59"/>
  <c r="K38" i="56" s="1"/>
  <c r="BN56" i="59"/>
  <c r="K36" i="56" s="1"/>
  <c r="K14" i="22" s="1"/>
  <c r="K84" i="47"/>
  <c r="BN54" i="59"/>
  <c r="K80" i="47" s="1"/>
  <c r="BN40" i="59"/>
  <c r="K64" i="47" s="1"/>
  <c r="BN39" i="59"/>
  <c r="K72" i="47" s="1"/>
  <c r="BN38" i="59"/>
  <c r="K68" i="47" s="1"/>
  <c r="BN37" i="59"/>
  <c r="K76" i="47" s="1"/>
  <c r="BN35" i="59"/>
  <c r="K16" i="56" s="1"/>
  <c r="BN34" i="59"/>
  <c r="K14" i="56" s="1"/>
  <c r="BN26" i="59"/>
  <c r="K49" i="56" s="1"/>
  <c r="BN25" i="59"/>
  <c r="K47" i="56" s="1"/>
  <c r="BN23" i="59"/>
  <c r="BN21" i="59"/>
  <c r="K39" i="52" s="1"/>
  <c r="BN20" i="59"/>
  <c r="K33" i="52" s="1"/>
  <c r="BN19" i="59"/>
  <c r="K45" i="52" s="1"/>
  <c r="BN18" i="59"/>
  <c r="K42" i="52" s="1"/>
  <c r="BN17" i="59"/>
  <c r="K36" i="52" s="1"/>
  <c r="BG61" i="59"/>
  <c r="J40" i="56" s="1"/>
  <c r="J12" i="22" s="1"/>
  <c r="BG60" i="59"/>
  <c r="J37" i="56" s="1"/>
  <c r="BG59" i="59"/>
  <c r="J35" i="56" s="1"/>
  <c r="J13" i="22" s="1"/>
  <c r="BG58" i="59"/>
  <c r="J39" i="56" s="1"/>
  <c r="BG57" i="59"/>
  <c r="J38" i="56" s="1"/>
  <c r="BG56" i="59"/>
  <c r="J36" i="56" s="1"/>
  <c r="J14" i="22" s="1"/>
  <c r="J84" i="47"/>
  <c r="BG54" i="59"/>
  <c r="J80" i="47" s="1"/>
  <c r="BG40" i="59"/>
  <c r="J64" i="47" s="1"/>
  <c r="BG39" i="59"/>
  <c r="J72" i="47" s="1"/>
  <c r="BG38" i="59"/>
  <c r="J68" i="47" s="1"/>
  <c r="BG37" i="59"/>
  <c r="J76" i="47" s="1"/>
  <c r="BG35" i="59"/>
  <c r="J16" i="56" s="1"/>
  <c r="BG34" i="59"/>
  <c r="J14" i="56" s="1"/>
  <c r="BG26" i="59"/>
  <c r="J49" i="56" s="1"/>
  <c r="BG25" i="59"/>
  <c r="J47" i="56" s="1"/>
  <c r="BG23" i="59"/>
  <c r="BG21" i="59"/>
  <c r="J39" i="52" s="1"/>
  <c r="BG20" i="59"/>
  <c r="J33" i="52" s="1"/>
  <c r="BG19" i="59"/>
  <c r="J45" i="52" s="1"/>
  <c r="BG18" i="59"/>
  <c r="J42" i="52" s="1"/>
  <c r="BG17" i="59"/>
  <c r="J36" i="52" s="1"/>
  <c r="AZ61" i="59"/>
  <c r="I40" i="56" s="1"/>
  <c r="I12" i="22" s="1"/>
  <c r="AZ60" i="59"/>
  <c r="I37" i="56" s="1"/>
  <c r="AZ59" i="59"/>
  <c r="I35" i="56" s="1"/>
  <c r="I13" i="22" s="1"/>
  <c r="AZ58" i="59"/>
  <c r="I39" i="56" s="1"/>
  <c r="AZ57" i="59"/>
  <c r="I38" i="56" s="1"/>
  <c r="AZ56" i="59"/>
  <c r="I36" i="56" s="1"/>
  <c r="I14" i="22" s="1"/>
  <c r="I84" i="47"/>
  <c r="AZ54" i="59"/>
  <c r="I80" i="47" s="1"/>
  <c r="AZ40" i="59"/>
  <c r="I64" i="47" s="1"/>
  <c r="AZ39" i="59"/>
  <c r="I72" i="47" s="1"/>
  <c r="AZ38" i="59"/>
  <c r="I68" i="47" s="1"/>
  <c r="AZ37" i="59"/>
  <c r="I76" i="47" s="1"/>
  <c r="AZ35" i="59"/>
  <c r="I16" i="56" s="1"/>
  <c r="AZ34" i="59"/>
  <c r="I14" i="56" s="1"/>
  <c r="AZ26" i="59"/>
  <c r="I49" i="56" s="1"/>
  <c r="AZ25" i="59"/>
  <c r="I47" i="56" s="1"/>
  <c r="AZ23" i="59"/>
  <c r="AZ21" i="59"/>
  <c r="I39" i="52" s="1"/>
  <c r="AZ20" i="59"/>
  <c r="I33" i="52" s="1"/>
  <c r="AZ19" i="59"/>
  <c r="I45" i="52" s="1"/>
  <c r="AZ18" i="59"/>
  <c r="I42" i="52" s="1"/>
  <c r="AZ17" i="59"/>
  <c r="I36" i="52" s="1"/>
  <c r="AS61" i="59"/>
  <c r="H40" i="56" s="1"/>
  <c r="H12" i="22" s="1"/>
  <c r="AS60" i="59"/>
  <c r="H37" i="56" s="1"/>
  <c r="AS59" i="59"/>
  <c r="H35" i="56" s="1"/>
  <c r="H13" i="22" s="1"/>
  <c r="AS58" i="59"/>
  <c r="H39" i="56" s="1"/>
  <c r="AS57" i="59"/>
  <c r="H38" i="56" s="1"/>
  <c r="AS56" i="59"/>
  <c r="H36" i="56" s="1"/>
  <c r="H14" i="22" s="1"/>
  <c r="H84" i="47"/>
  <c r="AS54" i="59"/>
  <c r="H80" i="47" s="1"/>
  <c r="AS40" i="59"/>
  <c r="H64" i="47" s="1"/>
  <c r="AS39" i="59"/>
  <c r="H72" i="47" s="1"/>
  <c r="AS38" i="59"/>
  <c r="H68" i="47" s="1"/>
  <c r="AS37" i="59"/>
  <c r="H76" i="47" s="1"/>
  <c r="AS35" i="59"/>
  <c r="H16" i="56" s="1"/>
  <c r="AS34" i="59"/>
  <c r="H14" i="56" s="1"/>
  <c r="AS26" i="59"/>
  <c r="H49" i="56" s="1"/>
  <c r="AS25" i="59"/>
  <c r="H47" i="56" s="1"/>
  <c r="AS23" i="59"/>
  <c r="H50" i="56" s="1"/>
  <c r="AS21" i="59"/>
  <c r="H39" i="52" s="1"/>
  <c r="AS20" i="59"/>
  <c r="H33" i="52" s="1"/>
  <c r="AS19" i="59"/>
  <c r="H45" i="52" s="1"/>
  <c r="AS18" i="59"/>
  <c r="H42" i="52" s="1"/>
  <c r="AS17" i="59"/>
  <c r="H36" i="52" s="1"/>
  <c r="AL61" i="59"/>
  <c r="G40" i="56" s="1"/>
  <c r="G12" i="22" s="1"/>
  <c r="AL60" i="59"/>
  <c r="G37" i="56" s="1"/>
  <c r="AL59" i="59"/>
  <c r="G35" i="56" s="1"/>
  <c r="G13" i="22" s="1"/>
  <c r="AL58" i="59"/>
  <c r="G39" i="56" s="1"/>
  <c r="AL57" i="59"/>
  <c r="G38" i="56" s="1"/>
  <c r="AL56" i="59"/>
  <c r="G36" i="56" s="1"/>
  <c r="G14" i="22" s="1"/>
  <c r="G84" i="47"/>
  <c r="AL54" i="59"/>
  <c r="G80" i="47" s="1"/>
  <c r="AL40" i="59"/>
  <c r="G64" i="47" s="1"/>
  <c r="AL39" i="59"/>
  <c r="G72" i="47" s="1"/>
  <c r="AL38" i="59"/>
  <c r="G68" i="47" s="1"/>
  <c r="AL37" i="59"/>
  <c r="G76" i="47" s="1"/>
  <c r="AL35" i="59"/>
  <c r="G16" i="56" s="1"/>
  <c r="AL34" i="59"/>
  <c r="G14" i="56" s="1"/>
  <c r="AL26" i="59"/>
  <c r="G49" i="56" s="1"/>
  <c r="AL25" i="59"/>
  <c r="G47" i="56" s="1"/>
  <c r="AL23" i="59"/>
  <c r="AL21" i="59"/>
  <c r="G39" i="52" s="1"/>
  <c r="AL20" i="59"/>
  <c r="G33" i="52" s="1"/>
  <c r="AL19" i="59"/>
  <c r="G45" i="52" s="1"/>
  <c r="AL18" i="59"/>
  <c r="G42" i="52" s="1"/>
  <c r="AL17" i="59"/>
  <c r="G36" i="52" s="1"/>
  <c r="AE61" i="59"/>
  <c r="F40" i="56" s="1"/>
  <c r="F12" i="22" s="1"/>
  <c r="AE60" i="59"/>
  <c r="F37" i="56" s="1"/>
  <c r="AE59" i="59"/>
  <c r="F35" i="56" s="1"/>
  <c r="F13" i="22" s="1"/>
  <c r="AE58" i="59"/>
  <c r="F39" i="56" s="1"/>
  <c r="AE57" i="59"/>
  <c r="F38" i="56" s="1"/>
  <c r="AE56" i="59"/>
  <c r="F36" i="56" s="1"/>
  <c r="F14" i="22" s="1"/>
  <c r="F84" i="47"/>
  <c r="AE54" i="59"/>
  <c r="F80" i="47" s="1"/>
  <c r="AE40" i="59"/>
  <c r="F64" i="47" s="1"/>
  <c r="AE39" i="59"/>
  <c r="F72" i="47" s="1"/>
  <c r="AE38" i="59"/>
  <c r="F68" i="47" s="1"/>
  <c r="AE37" i="59"/>
  <c r="F76" i="47" s="1"/>
  <c r="AE35" i="59"/>
  <c r="F16" i="56" s="1"/>
  <c r="AE34" i="59"/>
  <c r="F14" i="56" s="1"/>
  <c r="AE26" i="59"/>
  <c r="F49" i="56" s="1"/>
  <c r="AE25" i="59"/>
  <c r="F47" i="56" s="1"/>
  <c r="AE23" i="59"/>
  <c r="AE21" i="59"/>
  <c r="F39" i="52" s="1"/>
  <c r="AE20" i="59"/>
  <c r="F33" i="52" s="1"/>
  <c r="AE19" i="59"/>
  <c r="F45" i="52" s="1"/>
  <c r="AE18" i="59"/>
  <c r="F42" i="52" s="1"/>
  <c r="AE17" i="59"/>
  <c r="F36" i="52" s="1"/>
  <c r="X61" i="59"/>
  <c r="E40" i="56" s="1"/>
  <c r="E12" i="22" s="1"/>
  <c r="X60" i="59"/>
  <c r="E37" i="56" s="1"/>
  <c r="X59" i="59"/>
  <c r="E35" i="56" s="1"/>
  <c r="E13" i="22" s="1"/>
  <c r="X58" i="59"/>
  <c r="E39" i="56" s="1"/>
  <c r="X57" i="59"/>
  <c r="E38" i="56" s="1"/>
  <c r="X56" i="59"/>
  <c r="E36" i="56" s="1"/>
  <c r="E14" i="22" s="1"/>
  <c r="E84" i="47"/>
  <c r="X54" i="59"/>
  <c r="E80" i="47" s="1"/>
  <c r="X40" i="59"/>
  <c r="E64" i="47" s="1"/>
  <c r="X39" i="59"/>
  <c r="E72" i="47" s="1"/>
  <c r="X38" i="59"/>
  <c r="E68" i="47" s="1"/>
  <c r="X37" i="59"/>
  <c r="E76" i="47" s="1"/>
  <c r="X35" i="59"/>
  <c r="E16" i="56" s="1"/>
  <c r="X34" i="59"/>
  <c r="E14" i="56" s="1"/>
  <c r="X26" i="59"/>
  <c r="E49" i="56" s="1"/>
  <c r="X25" i="59"/>
  <c r="E47" i="56" s="1"/>
  <c r="X23" i="59"/>
  <c r="X21" i="59"/>
  <c r="E39" i="52" s="1"/>
  <c r="X20" i="59"/>
  <c r="E33" i="52" s="1"/>
  <c r="X19" i="59"/>
  <c r="E45" i="52" s="1"/>
  <c r="X18" i="59"/>
  <c r="E42" i="52" s="1"/>
  <c r="X17" i="59"/>
  <c r="E36" i="52" s="1"/>
  <c r="Q61" i="59"/>
  <c r="D40" i="56" s="1"/>
  <c r="D12" i="22" s="1"/>
  <c r="Q60" i="59"/>
  <c r="D37" i="56" s="1"/>
  <c r="Q59" i="59"/>
  <c r="D35" i="56" s="1"/>
  <c r="D13" i="22" s="1"/>
  <c r="Q58" i="59"/>
  <c r="D39" i="56" s="1"/>
  <c r="Q57" i="59"/>
  <c r="D38" i="56" s="1"/>
  <c r="Q56" i="59"/>
  <c r="D36" i="56" s="1"/>
  <c r="D14" i="22" s="1"/>
  <c r="D84" i="47"/>
  <c r="Q54" i="59"/>
  <c r="D80" i="47" s="1"/>
  <c r="Q40" i="59"/>
  <c r="D64" i="47" s="1"/>
  <c r="Q39" i="59"/>
  <c r="D72" i="47" s="1"/>
  <c r="Q38" i="59"/>
  <c r="D68" i="47" s="1"/>
  <c r="Q37" i="59"/>
  <c r="D76" i="47" s="1"/>
  <c r="Q35" i="59"/>
  <c r="D16" i="56" s="1"/>
  <c r="Q34" i="59"/>
  <c r="D14" i="56" s="1"/>
  <c r="Q26" i="59"/>
  <c r="D49" i="56" s="1"/>
  <c r="Q25" i="59"/>
  <c r="D47" i="56" s="1"/>
  <c r="Q23" i="59"/>
  <c r="Q21" i="59"/>
  <c r="D39" i="52" s="1"/>
  <c r="Q20" i="59"/>
  <c r="D33" i="52" s="1"/>
  <c r="Q19" i="59"/>
  <c r="D45" i="52" s="1"/>
  <c r="Q18" i="59"/>
  <c r="D42" i="52" s="1"/>
  <c r="Q17" i="59"/>
  <c r="D36" i="52" s="1"/>
  <c r="N15" i="56"/>
  <c r="Q32" i="59" l="1"/>
  <c r="D17" i="56" s="1"/>
  <c r="D50" i="56"/>
  <c r="AL33" i="59"/>
  <c r="G18" i="56" s="1"/>
  <c r="G51" i="56"/>
  <c r="BG33" i="59"/>
  <c r="J18" i="56" s="1"/>
  <c r="J51" i="56"/>
  <c r="BN32" i="59"/>
  <c r="K17" i="56" s="1"/>
  <c r="K50" i="56"/>
  <c r="CI33" i="59"/>
  <c r="N18" i="56" s="1"/>
  <c r="N51" i="56"/>
  <c r="Q33" i="59"/>
  <c r="D18" i="56" s="1"/>
  <c r="D51" i="56"/>
  <c r="X32" i="59"/>
  <c r="E17" i="56" s="1"/>
  <c r="E50" i="56"/>
  <c r="AS33" i="59"/>
  <c r="H18" i="56" s="1"/>
  <c r="H51" i="56"/>
  <c r="AS32" i="59"/>
  <c r="H17" i="56" s="1"/>
  <c r="BN33" i="59"/>
  <c r="K18" i="56" s="1"/>
  <c r="K51" i="56"/>
  <c r="BU32" i="59"/>
  <c r="L17" i="56" s="1"/>
  <c r="L50" i="56"/>
  <c r="X33" i="59"/>
  <c r="E18" i="56" s="1"/>
  <c r="E51" i="56"/>
  <c r="AE32" i="59"/>
  <c r="F17" i="56" s="1"/>
  <c r="F50" i="56"/>
  <c r="AZ32" i="59"/>
  <c r="I17" i="56" s="1"/>
  <c r="I50" i="56"/>
  <c r="BU33" i="59"/>
  <c r="L18" i="56" s="1"/>
  <c r="L51" i="56"/>
  <c r="CB32" i="59"/>
  <c r="M17" i="56" s="1"/>
  <c r="M50" i="56"/>
  <c r="AE33" i="59"/>
  <c r="F18" i="56" s="1"/>
  <c r="F51" i="56"/>
  <c r="AL32" i="59"/>
  <c r="G17" i="56" s="1"/>
  <c r="G50" i="56"/>
  <c r="AZ33" i="59"/>
  <c r="I18" i="56" s="1"/>
  <c r="I51" i="56"/>
  <c r="BG32" i="59"/>
  <c r="J17" i="56" s="1"/>
  <c r="J50" i="56"/>
  <c r="CB33" i="59"/>
  <c r="M18" i="56" s="1"/>
  <c r="M51" i="56"/>
  <c r="CI32" i="59"/>
  <c r="N17" i="56" s="1"/>
  <c r="N50" i="56"/>
  <c r="C25" i="47"/>
  <c r="C24" i="47"/>
  <c r="C21" i="47"/>
  <c r="C20" i="47"/>
  <c r="C19" i="47"/>
  <c r="N18" i="47"/>
  <c r="M18" i="47"/>
  <c r="L18" i="47"/>
  <c r="K18" i="47"/>
  <c r="J18" i="47"/>
  <c r="I18" i="47"/>
  <c r="H18" i="47"/>
  <c r="G18" i="47"/>
  <c r="F18" i="47"/>
  <c r="E18" i="47"/>
  <c r="D18" i="47"/>
  <c r="N10" i="47"/>
  <c r="M10" i="47"/>
  <c r="L10" i="47"/>
  <c r="K10" i="47"/>
  <c r="J10" i="47"/>
  <c r="I10" i="47"/>
  <c r="H10" i="47"/>
  <c r="G10" i="47"/>
  <c r="F10" i="47"/>
  <c r="E10" i="47"/>
  <c r="D10" i="47"/>
  <c r="C9" i="47"/>
  <c r="C8" i="47"/>
  <c r="C7" i="47"/>
  <c r="C45" i="56"/>
  <c r="C33" i="56"/>
  <c r="C11" i="22" s="1"/>
  <c r="C11" i="56"/>
  <c r="C10" i="56"/>
  <c r="C9" i="56"/>
  <c r="C7" i="56"/>
  <c r="C3" i="56"/>
  <c r="J60" i="59"/>
  <c r="CP60" i="59" s="1"/>
  <c r="J59" i="59"/>
  <c r="CP59" i="59" s="1"/>
  <c r="J61" i="59"/>
  <c r="CP61" i="59" s="1"/>
  <c r="J58" i="59"/>
  <c r="CP58" i="59" s="1"/>
  <c r="J57" i="59"/>
  <c r="CP57" i="59" s="1"/>
  <c r="J56" i="59"/>
  <c r="J40" i="59"/>
  <c r="J39" i="59"/>
  <c r="J37" i="59"/>
  <c r="J38" i="59"/>
  <c r="J35" i="59"/>
  <c r="CP35" i="59" s="1"/>
  <c r="J34" i="59"/>
  <c r="CP34" i="59" s="1"/>
  <c r="J54" i="59"/>
  <c r="C51" i="56"/>
  <c r="J23" i="59"/>
  <c r="C50" i="56" s="1"/>
  <c r="J26" i="59"/>
  <c r="CP26" i="59" s="1"/>
  <c r="J25" i="59"/>
  <c r="CP25" i="59" s="1"/>
  <c r="J21" i="59"/>
  <c r="J20" i="59"/>
  <c r="J19" i="59"/>
  <c r="J18" i="59"/>
  <c r="J17" i="59"/>
  <c r="R10" i="47" l="1"/>
  <c r="R18" i="47"/>
  <c r="Q10" i="47"/>
  <c r="Q18" i="47"/>
  <c r="P10" i="47"/>
  <c r="P18" i="47"/>
  <c r="C38" i="56"/>
  <c r="C40" i="56"/>
  <c r="C12" i="22" s="1"/>
  <c r="C33" i="52"/>
  <c r="CP20" i="59"/>
  <c r="C72" i="47"/>
  <c r="CP39" i="59"/>
  <c r="C16" i="56"/>
  <c r="C35" i="56"/>
  <c r="C13" i="22" s="1"/>
  <c r="CP17" i="59"/>
  <c r="C36" i="52"/>
  <c r="CP21" i="59"/>
  <c r="C39" i="52"/>
  <c r="J32" i="59"/>
  <c r="CP23" i="59"/>
  <c r="CP54" i="59"/>
  <c r="C80" i="47"/>
  <c r="CP40" i="59"/>
  <c r="C64" i="47"/>
  <c r="C37" i="56"/>
  <c r="C42" i="52"/>
  <c r="CP18" i="59"/>
  <c r="J33" i="59"/>
  <c r="C84" i="47"/>
  <c r="CP38" i="59"/>
  <c r="C68" i="47"/>
  <c r="C36" i="56"/>
  <c r="C14" i="22" s="1"/>
  <c r="CP56" i="59"/>
  <c r="C47" i="56"/>
  <c r="CP19" i="59"/>
  <c r="C45" i="52"/>
  <c r="C76" i="47"/>
  <c r="CP37" i="59"/>
  <c r="C14" i="56"/>
  <c r="C39" i="56"/>
  <c r="C49" i="56"/>
  <c r="CP33" i="59" l="1"/>
  <c r="C18" i="56"/>
  <c r="CP32" i="59"/>
  <c r="C17" i="56"/>
  <c r="N18" i="52" l="1"/>
  <c r="M18" i="52"/>
  <c r="L18" i="52"/>
  <c r="K18" i="52"/>
  <c r="J18" i="52"/>
  <c r="I18" i="52"/>
  <c r="H18" i="52"/>
  <c r="G18" i="52"/>
  <c r="F18" i="52"/>
  <c r="E18" i="52"/>
  <c r="D18" i="52"/>
  <c r="C18" i="52"/>
  <c r="N6" i="52" l="1"/>
  <c r="M6" i="52"/>
  <c r="L6" i="52"/>
  <c r="K6" i="52"/>
  <c r="J6" i="52"/>
  <c r="I6" i="52"/>
  <c r="H6" i="52"/>
  <c r="G6" i="52"/>
  <c r="F6" i="52"/>
  <c r="E6" i="52"/>
  <c r="D6" i="52"/>
  <c r="C6" i="52"/>
  <c r="N12" i="52" l="1"/>
  <c r="M12" i="52"/>
  <c r="L12" i="52"/>
  <c r="K12" i="52"/>
  <c r="J12" i="52"/>
  <c r="I12" i="52"/>
  <c r="H12" i="52"/>
  <c r="G12" i="52"/>
  <c r="F12" i="52"/>
  <c r="E12" i="52"/>
  <c r="D12" i="52"/>
  <c r="C12" i="52"/>
  <c r="N15" i="52"/>
  <c r="M15" i="52"/>
  <c r="L15" i="52"/>
  <c r="K15" i="52"/>
  <c r="J15" i="52"/>
  <c r="I15" i="52"/>
  <c r="H15" i="52"/>
  <c r="G15" i="52"/>
  <c r="F15" i="52"/>
  <c r="E15" i="52"/>
  <c r="D15" i="52"/>
  <c r="C15" i="52"/>
  <c r="S9" i="56" l="1"/>
  <c r="I25" i="48" l="1"/>
  <c r="I24" i="48"/>
  <c r="I23" i="48"/>
  <c r="I19" i="48"/>
  <c r="I20" i="48"/>
  <c r="I18" i="48"/>
  <c r="BL7" i="26"/>
  <c r="BL8" i="26"/>
  <c r="BL9" i="26"/>
  <c r="K52" i="56" s="1"/>
  <c r="K75" i="52" s="1"/>
  <c r="K29" i="57" s="1"/>
  <c r="L75" i="60" s="1"/>
  <c r="BL12" i="26"/>
  <c r="K20" i="52" s="1"/>
  <c r="K103" i="52" s="1"/>
  <c r="BS7" i="26"/>
  <c r="BS8" i="26"/>
  <c r="BS9" i="26"/>
  <c r="L52" i="56" s="1"/>
  <c r="L75" i="52" s="1"/>
  <c r="BS12" i="26"/>
  <c r="L20" i="52" s="1"/>
  <c r="L103" i="52" s="1"/>
  <c r="BZ7" i="26"/>
  <c r="BZ8" i="26"/>
  <c r="BZ9" i="26"/>
  <c r="M52" i="56" s="1"/>
  <c r="M75" i="52" s="1"/>
  <c r="BZ12" i="26"/>
  <c r="M20" i="52" s="1"/>
  <c r="CG7" i="26"/>
  <c r="CG8" i="26"/>
  <c r="CG9" i="26"/>
  <c r="CG12" i="26"/>
  <c r="N20" i="52" s="1"/>
  <c r="N103" i="52" s="1"/>
  <c r="BL13" i="26"/>
  <c r="K27" i="47" s="1"/>
  <c r="K54" i="47" s="1"/>
  <c r="BS13" i="26"/>
  <c r="L27" i="47" s="1"/>
  <c r="BZ13" i="26"/>
  <c r="M27" i="47" s="1"/>
  <c r="CG13" i="26"/>
  <c r="N27" i="47" s="1"/>
  <c r="N54" i="47" s="1"/>
  <c r="BL14" i="26"/>
  <c r="K28" i="47" s="1"/>
  <c r="K55" i="47" s="1"/>
  <c r="BS14" i="26"/>
  <c r="L28" i="47" s="1"/>
  <c r="L55" i="47" s="1"/>
  <c r="BZ14" i="26"/>
  <c r="M28" i="47" s="1"/>
  <c r="M55" i="47" s="1"/>
  <c r="CG14" i="26"/>
  <c r="N28" i="47" s="1"/>
  <c r="N55" i="47" s="1"/>
  <c r="BL15" i="26"/>
  <c r="K29" i="47" s="1"/>
  <c r="K56" i="47" s="1"/>
  <c r="K150" i="47" s="1"/>
  <c r="J12" i="32" s="1"/>
  <c r="BS15" i="26"/>
  <c r="L29" i="47" s="1"/>
  <c r="BZ15" i="26"/>
  <c r="M29" i="47" s="1"/>
  <c r="M56" i="47" s="1"/>
  <c r="M150" i="47" s="1"/>
  <c r="CG15" i="26"/>
  <c r="N29" i="47" s="1"/>
  <c r="N56" i="47" s="1"/>
  <c r="N150" i="47" s="1"/>
  <c r="AI31" i="36"/>
  <c r="C10" i="62"/>
  <c r="D10" i="62"/>
  <c r="G10" i="62"/>
  <c r="H10" i="62"/>
  <c r="I10" i="62"/>
  <c r="J10" i="62"/>
  <c r="K10" i="62"/>
  <c r="N10" i="62"/>
  <c r="E17" i="36"/>
  <c r="I17" i="36"/>
  <c r="M17" i="36"/>
  <c r="Q17" i="36"/>
  <c r="U17" i="36"/>
  <c r="Y17" i="36"/>
  <c r="AC17" i="36"/>
  <c r="AG17" i="36"/>
  <c r="AK17" i="36"/>
  <c r="AO17" i="36"/>
  <c r="AW17" i="36"/>
  <c r="E18" i="36"/>
  <c r="I18" i="36"/>
  <c r="M18" i="36"/>
  <c r="Q18" i="36"/>
  <c r="U18" i="36"/>
  <c r="Y18" i="36"/>
  <c r="AC18" i="36"/>
  <c r="AG18" i="36"/>
  <c r="AK18" i="36"/>
  <c r="AO18" i="36"/>
  <c r="AW18" i="36"/>
  <c r="AX16" i="36"/>
  <c r="AX17" i="36"/>
  <c r="AX18" i="36"/>
  <c r="AP16" i="36"/>
  <c r="AP17" i="36"/>
  <c r="AP18" i="36"/>
  <c r="AL16" i="36"/>
  <c r="AL17" i="36"/>
  <c r="AL18" i="36"/>
  <c r="AH16" i="36"/>
  <c r="AH17" i="36"/>
  <c r="AH18" i="36"/>
  <c r="AD16" i="36"/>
  <c r="AD17" i="36"/>
  <c r="AD18" i="36"/>
  <c r="Z16" i="36"/>
  <c r="Z17" i="36"/>
  <c r="Z18" i="36"/>
  <c r="V17" i="36"/>
  <c r="V18" i="36"/>
  <c r="R17" i="36"/>
  <c r="R18" i="36"/>
  <c r="N16" i="36"/>
  <c r="N17" i="36"/>
  <c r="N18" i="36"/>
  <c r="J16" i="36"/>
  <c r="J17" i="36"/>
  <c r="J18" i="36"/>
  <c r="F16" i="36"/>
  <c r="F17" i="36"/>
  <c r="F18" i="36"/>
  <c r="D22" i="47"/>
  <c r="E22" i="47"/>
  <c r="M10" i="48" s="1"/>
  <c r="F22" i="47"/>
  <c r="G22" i="47"/>
  <c r="M14" i="48" s="1"/>
  <c r="H22" i="47"/>
  <c r="M15" i="48" s="1"/>
  <c r="I22" i="47"/>
  <c r="J22" i="47"/>
  <c r="M19" i="48" s="1"/>
  <c r="K22" i="47"/>
  <c r="M20" i="48" s="1"/>
  <c r="L22" i="47"/>
  <c r="M22" i="47"/>
  <c r="N22" i="47"/>
  <c r="C22" i="47"/>
  <c r="H7" i="26"/>
  <c r="H8" i="26"/>
  <c r="C52" i="56"/>
  <c r="C75" i="52" s="1"/>
  <c r="O7" i="26"/>
  <c r="O8" i="26"/>
  <c r="O9" i="26"/>
  <c r="D19" i="57"/>
  <c r="E46" i="60" s="1"/>
  <c r="V7" i="26"/>
  <c r="V8" i="26"/>
  <c r="V9" i="26"/>
  <c r="E52" i="56" s="1"/>
  <c r="E75" i="52" s="1"/>
  <c r="E29" i="57" s="1"/>
  <c r="F75" i="60" s="1"/>
  <c r="E19" i="57"/>
  <c r="F46" i="60" s="1"/>
  <c r="AC7" i="26"/>
  <c r="AC8" i="26"/>
  <c r="AC9" i="26"/>
  <c r="F52" i="56" s="1"/>
  <c r="F75" i="52" s="1"/>
  <c r="F19" i="57"/>
  <c r="G46" i="60" s="1"/>
  <c r="AJ7" i="26"/>
  <c r="AJ8" i="26"/>
  <c r="AJ9" i="26"/>
  <c r="G19" i="57"/>
  <c r="H46" i="60" s="1"/>
  <c r="AQ7" i="26"/>
  <c r="AQ8" i="26"/>
  <c r="AQ9" i="26"/>
  <c r="H52" i="56" s="1"/>
  <c r="H75" i="52" s="1"/>
  <c r="H19" i="57"/>
  <c r="I46" i="60" s="1"/>
  <c r="AX7" i="26"/>
  <c r="AX8" i="26"/>
  <c r="AX9" i="26"/>
  <c r="I52" i="56" s="1"/>
  <c r="I19" i="57"/>
  <c r="J46" i="60" s="1"/>
  <c r="BE7" i="26"/>
  <c r="BE8" i="26"/>
  <c r="BE9" i="26"/>
  <c r="J19" i="57"/>
  <c r="K46" i="60" s="1"/>
  <c r="K19" i="57"/>
  <c r="L46" i="60" s="1"/>
  <c r="L19" i="57"/>
  <c r="M46" i="60" s="1"/>
  <c r="M19" i="57"/>
  <c r="N46" i="60" s="1"/>
  <c r="N19" i="57"/>
  <c r="O46" i="60" s="1"/>
  <c r="N48" i="56"/>
  <c r="N54" i="56" s="1"/>
  <c r="M48" i="56"/>
  <c r="M54" i="56" s="1"/>
  <c r="L48" i="56"/>
  <c r="K48" i="56"/>
  <c r="K54" i="56" s="1"/>
  <c r="J48" i="56"/>
  <c r="J54" i="56" s="1"/>
  <c r="I48" i="56"/>
  <c r="I63" i="52" s="1"/>
  <c r="H48" i="56"/>
  <c r="H63" i="52" s="1"/>
  <c r="H32" i="57" s="1"/>
  <c r="G48" i="56"/>
  <c r="G63" i="52" s="1"/>
  <c r="G64" i="52" s="1"/>
  <c r="H101" i="61" s="1"/>
  <c r="H122" i="61" s="1"/>
  <c r="F48" i="56"/>
  <c r="F63" i="52" s="1"/>
  <c r="F9" i="52" s="1"/>
  <c r="F12" i="57" s="1"/>
  <c r="E48" i="56"/>
  <c r="E63" i="52" s="1"/>
  <c r="D48" i="56"/>
  <c r="D63" i="52" s="1"/>
  <c r="N11" i="47"/>
  <c r="N38" i="47" s="1"/>
  <c r="N132" i="47" s="1"/>
  <c r="N12" i="47"/>
  <c r="N39" i="47" s="1"/>
  <c r="N133" i="47" s="1"/>
  <c r="N13" i="47"/>
  <c r="N28" i="27"/>
  <c r="N8" i="56" s="1"/>
  <c r="M11" i="47"/>
  <c r="M12" i="47"/>
  <c r="M39" i="47" s="1"/>
  <c r="M133" i="47" s="1"/>
  <c r="M13" i="47"/>
  <c r="M28" i="27"/>
  <c r="M8" i="56" s="1"/>
  <c r="L11" i="47"/>
  <c r="L38" i="47" s="1"/>
  <c r="L12" i="47"/>
  <c r="L39" i="47" s="1"/>
  <c r="L13" i="47"/>
  <c r="L28" i="27"/>
  <c r="L8" i="56" s="1"/>
  <c r="K11" i="47"/>
  <c r="K38" i="47" s="1"/>
  <c r="K12" i="47"/>
  <c r="K39" i="47" s="1"/>
  <c r="K133" i="47" s="1"/>
  <c r="K13" i="47"/>
  <c r="K28" i="27"/>
  <c r="K8" i="56" s="1"/>
  <c r="J11" i="47"/>
  <c r="J38" i="47" s="1"/>
  <c r="J132" i="47" s="1"/>
  <c r="J12" i="47"/>
  <c r="J39" i="47" s="1"/>
  <c r="J133" i="47" s="1"/>
  <c r="J13" i="47"/>
  <c r="J28" i="27"/>
  <c r="J8" i="56" s="1"/>
  <c r="I11" i="47"/>
  <c r="I12" i="47"/>
  <c r="I39" i="47" s="1"/>
  <c r="I133" i="47" s="1"/>
  <c r="I13" i="47"/>
  <c r="I28" i="27"/>
  <c r="I8" i="56" s="1"/>
  <c r="H11" i="47"/>
  <c r="H38" i="47" s="1"/>
  <c r="H132" i="47" s="1"/>
  <c r="H12" i="47"/>
  <c r="H39" i="47" s="1"/>
  <c r="H13" i="47"/>
  <c r="H28" i="27"/>
  <c r="H8" i="56" s="1"/>
  <c r="G11" i="47"/>
  <c r="G12" i="47"/>
  <c r="G39" i="47" s="1"/>
  <c r="G133" i="47" s="1"/>
  <c r="G13" i="47"/>
  <c r="G28" i="27"/>
  <c r="G8" i="56" s="1"/>
  <c r="F11" i="47"/>
  <c r="F38" i="47" s="1"/>
  <c r="F132" i="47" s="1"/>
  <c r="F12" i="47"/>
  <c r="F39" i="47" s="1"/>
  <c r="F133" i="47" s="1"/>
  <c r="F13" i="47"/>
  <c r="F28" i="27"/>
  <c r="F8" i="56" s="1"/>
  <c r="E11" i="47"/>
  <c r="E38" i="47" s="1"/>
  <c r="E132" i="47" s="1"/>
  <c r="E12" i="47"/>
  <c r="E39" i="47" s="1"/>
  <c r="E133" i="47" s="1"/>
  <c r="E13" i="47"/>
  <c r="E28" i="27"/>
  <c r="E8" i="56" s="1"/>
  <c r="D11" i="47"/>
  <c r="D38" i="47" s="1"/>
  <c r="D12" i="47"/>
  <c r="D13" i="47"/>
  <c r="D28" i="27"/>
  <c r="D8" i="56" s="1"/>
  <c r="C48" i="56"/>
  <c r="C63" i="52" s="1"/>
  <c r="C32" i="57" s="1"/>
  <c r="C11" i="47"/>
  <c r="C38" i="47" s="1"/>
  <c r="C12" i="47"/>
  <c r="C39" i="47" s="1"/>
  <c r="C133" i="47" s="1"/>
  <c r="C13" i="47"/>
  <c r="C28" i="27"/>
  <c r="C8" i="56" s="1"/>
  <c r="D15" i="56"/>
  <c r="E15" i="56"/>
  <c r="F15" i="56"/>
  <c r="G15" i="56"/>
  <c r="H15" i="56"/>
  <c r="I15" i="56"/>
  <c r="J15" i="56"/>
  <c r="K15" i="56"/>
  <c r="L15" i="56"/>
  <c r="M15" i="56"/>
  <c r="I15" i="48"/>
  <c r="I14" i="48"/>
  <c r="I13" i="48"/>
  <c r="I10" i="48"/>
  <c r="I9" i="48"/>
  <c r="C18" i="47"/>
  <c r="N71" i="47"/>
  <c r="N35" i="52" s="1"/>
  <c r="N37" i="52" s="1"/>
  <c r="O60" i="61" s="1"/>
  <c r="M71" i="47"/>
  <c r="M35" i="52" s="1"/>
  <c r="L71" i="47"/>
  <c r="L35" i="52" s="1"/>
  <c r="L37" i="52" s="1"/>
  <c r="M60" i="61" s="1"/>
  <c r="K71" i="47"/>
  <c r="K35" i="52" s="1"/>
  <c r="K37" i="52" s="1"/>
  <c r="L60" i="61" s="1"/>
  <c r="J71" i="47"/>
  <c r="J35" i="52" s="1"/>
  <c r="J37" i="52" s="1"/>
  <c r="K60" i="61" s="1"/>
  <c r="I71" i="47"/>
  <c r="I35" i="52" s="1"/>
  <c r="H71" i="47"/>
  <c r="H35" i="52" s="1"/>
  <c r="H37" i="52" s="1"/>
  <c r="I60" i="61" s="1"/>
  <c r="G71" i="47"/>
  <c r="G35" i="52" s="1"/>
  <c r="G37" i="52" s="1"/>
  <c r="H60" i="61" s="1"/>
  <c r="F71" i="47"/>
  <c r="F35" i="52" s="1"/>
  <c r="D71" i="47"/>
  <c r="D35" i="52" s="1"/>
  <c r="D37" i="52" s="1"/>
  <c r="E60" i="61" s="1"/>
  <c r="E71" i="47"/>
  <c r="E35" i="52" s="1"/>
  <c r="E37" i="52" s="1"/>
  <c r="F60" i="61" s="1"/>
  <c r="C71" i="47"/>
  <c r="C35" i="52" s="1"/>
  <c r="N23" i="56"/>
  <c r="N34" i="47"/>
  <c r="N128" i="47" s="1"/>
  <c r="N35" i="47"/>
  <c r="N129" i="47" s="1"/>
  <c r="N36" i="47"/>
  <c r="N130" i="47" s="1"/>
  <c r="N60" i="52"/>
  <c r="N61" i="52" s="1"/>
  <c r="O100" i="61" s="1"/>
  <c r="O121" i="61" s="1"/>
  <c r="N67" i="47"/>
  <c r="N32" i="52" s="1"/>
  <c r="N34" i="52" s="1"/>
  <c r="O59" i="61" s="1"/>
  <c r="M23" i="56"/>
  <c r="M34" i="47"/>
  <c r="M35" i="47"/>
  <c r="M129" i="47" s="1"/>
  <c r="M36" i="47"/>
  <c r="M130" i="47" s="1"/>
  <c r="M60" i="52"/>
  <c r="M89" i="52" s="1"/>
  <c r="M67" i="47"/>
  <c r="M32" i="52" s="1"/>
  <c r="M34" i="52" s="1"/>
  <c r="N59" i="61" s="1"/>
  <c r="L23" i="56"/>
  <c r="L34" i="47"/>
  <c r="L128" i="47" s="1"/>
  <c r="L35" i="47"/>
  <c r="L36" i="47"/>
  <c r="L130" i="47" s="1"/>
  <c r="L60" i="52"/>
  <c r="L61" i="52" s="1"/>
  <c r="M100" i="61" s="1"/>
  <c r="L67" i="47"/>
  <c r="L32" i="52" s="1"/>
  <c r="K23" i="56"/>
  <c r="K34" i="47"/>
  <c r="K128" i="47" s="1"/>
  <c r="K35" i="47"/>
  <c r="K36" i="47"/>
  <c r="K60" i="52"/>
  <c r="K89" i="52" s="1"/>
  <c r="K67" i="47"/>
  <c r="K32" i="52" s="1"/>
  <c r="K34" i="52" s="1"/>
  <c r="L59" i="61" s="1"/>
  <c r="J23" i="56"/>
  <c r="J34" i="47"/>
  <c r="J128" i="47" s="1"/>
  <c r="J35" i="47"/>
  <c r="J129" i="47" s="1"/>
  <c r="J36" i="47"/>
  <c r="J130" i="47" s="1"/>
  <c r="J60" i="52"/>
  <c r="J61" i="52" s="1"/>
  <c r="K100" i="61" s="1"/>
  <c r="K121" i="61" s="1"/>
  <c r="J67" i="47"/>
  <c r="J32" i="52" s="1"/>
  <c r="J34" i="52" s="1"/>
  <c r="K59" i="61" s="1"/>
  <c r="I23" i="56"/>
  <c r="I34" i="47"/>
  <c r="I128" i="47" s="1"/>
  <c r="I35" i="47"/>
  <c r="I36" i="47"/>
  <c r="I130" i="47" s="1"/>
  <c r="I60" i="52"/>
  <c r="I89" i="52" s="1"/>
  <c r="I67" i="47"/>
  <c r="H23" i="56"/>
  <c r="H34" i="47"/>
  <c r="H35" i="47"/>
  <c r="H129" i="47" s="1"/>
  <c r="H36" i="47"/>
  <c r="H130" i="47" s="1"/>
  <c r="H60" i="52"/>
  <c r="H89" i="52" s="1"/>
  <c r="H67" i="47"/>
  <c r="H32" i="52" s="1"/>
  <c r="H34" i="52" s="1"/>
  <c r="I59" i="61" s="1"/>
  <c r="G23" i="56"/>
  <c r="G34" i="47"/>
  <c r="G128" i="47" s="1"/>
  <c r="G35" i="47"/>
  <c r="G129" i="47" s="1"/>
  <c r="G36" i="47"/>
  <c r="G60" i="52"/>
  <c r="G89" i="52" s="1"/>
  <c r="G67" i="47"/>
  <c r="G32" i="52" s="1"/>
  <c r="G34" i="52" s="1"/>
  <c r="H59" i="61" s="1"/>
  <c r="F23" i="56"/>
  <c r="F34" i="47"/>
  <c r="F128" i="47" s="1"/>
  <c r="F35" i="47"/>
  <c r="F36" i="47"/>
  <c r="F130" i="47" s="1"/>
  <c r="F60" i="52"/>
  <c r="F89" i="52" s="1"/>
  <c r="F67" i="47"/>
  <c r="F32" i="52" s="1"/>
  <c r="D23" i="56"/>
  <c r="D34" i="47"/>
  <c r="D35" i="47"/>
  <c r="D129" i="47" s="1"/>
  <c r="D36" i="47"/>
  <c r="D130" i="47" s="1"/>
  <c r="D60" i="52"/>
  <c r="D89" i="52" s="1"/>
  <c r="D67" i="47"/>
  <c r="D32" i="52" s="1"/>
  <c r="D34" i="52" s="1"/>
  <c r="E59" i="61" s="1"/>
  <c r="E23" i="56"/>
  <c r="E34" i="47"/>
  <c r="E128" i="47" s="1"/>
  <c r="E35" i="47"/>
  <c r="E129" i="47" s="1"/>
  <c r="E36" i="47"/>
  <c r="E130" i="47" s="1"/>
  <c r="E60" i="52"/>
  <c r="E89" i="52" s="1"/>
  <c r="E67" i="47"/>
  <c r="C23" i="56"/>
  <c r="C34" i="47"/>
  <c r="C35" i="47"/>
  <c r="C129" i="47" s="1"/>
  <c r="C36" i="47"/>
  <c r="C130" i="47" s="1"/>
  <c r="C60" i="52"/>
  <c r="C89" i="52" s="1"/>
  <c r="C67" i="47"/>
  <c r="C32" i="52" s="1"/>
  <c r="C34" i="52" s="1"/>
  <c r="D59" i="61" s="1"/>
  <c r="BS5" i="26"/>
  <c r="BS6" i="26"/>
  <c r="BS10" i="26"/>
  <c r="BS11" i="26"/>
  <c r="BS16" i="26"/>
  <c r="BS17" i="26"/>
  <c r="BS18" i="26"/>
  <c r="BS19" i="26"/>
  <c r="BS20" i="26"/>
  <c r="BS21" i="26"/>
  <c r="BS22" i="26"/>
  <c r="BS23" i="26"/>
  <c r="BS24" i="26"/>
  <c r="BS25" i="26"/>
  <c r="BS26" i="26"/>
  <c r="BS27" i="26"/>
  <c r="BZ5" i="26"/>
  <c r="BZ6" i="26"/>
  <c r="BZ10" i="26"/>
  <c r="BZ11" i="26"/>
  <c r="BZ16" i="26"/>
  <c r="BZ17" i="26"/>
  <c r="BZ18" i="26"/>
  <c r="BZ19" i="26"/>
  <c r="BZ20" i="26"/>
  <c r="BZ21" i="26"/>
  <c r="BZ22" i="26"/>
  <c r="BZ23" i="26"/>
  <c r="BZ24" i="26"/>
  <c r="BZ25" i="26"/>
  <c r="BZ26" i="26"/>
  <c r="BZ27" i="26"/>
  <c r="CG5" i="26"/>
  <c r="CG6" i="26"/>
  <c r="CG10" i="26"/>
  <c r="CG11" i="26"/>
  <c r="CG16" i="26"/>
  <c r="CG17" i="26"/>
  <c r="CG18" i="26"/>
  <c r="CG19" i="26"/>
  <c r="CG20" i="26"/>
  <c r="CG21" i="26"/>
  <c r="CG22" i="26"/>
  <c r="CG23" i="26"/>
  <c r="CG24" i="26"/>
  <c r="CG25" i="26"/>
  <c r="CG26" i="26"/>
  <c r="CG27" i="26"/>
  <c r="D23" i="48"/>
  <c r="D24" i="48"/>
  <c r="D25" i="48"/>
  <c r="E23" i="48"/>
  <c r="E24" i="48"/>
  <c r="E25" i="48"/>
  <c r="H5" i="26"/>
  <c r="H6" i="26"/>
  <c r="H10" i="26"/>
  <c r="H11" i="26"/>
  <c r="H12" i="26"/>
  <c r="C20" i="52" s="1"/>
  <c r="C103" i="52" s="1"/>
  <c r="H13" i="26"/>
  <c r="C27" i="47" s="1"/>
  <c r="H14" i="26"/>
  <c r="C28" i="47" s="1"/>
  <c r="C55" i="47" s="1"/>
  <c r="H15" i="26"/>
  <c r="C29" i="47" s="1"/>
  <c r="C56" i="47" s="1"/>
  <c r="C150" i="47" s="1"/>
  <c r="H16" i="26"/>
  <c r="H17" i="26"/>
  <c r="H18" i="26"/>
  <c r="H19" i="26"/>
  <c r="H20" i="26"/>
  <c r="H21" i="26"/>
  <c r="H22" i="26"/>
  <c r="H23" i="26"/>
  <c r="H24" i="26"/>
  <c r="H25" i="26"/>
  <c r="H26" i="26"/>
  <c r="H27" i="26"/>
  <c r="O5" i="26"/>
  <c r="O6" i="26"/>
  <c r="O10" i="26"/>
  <c r="O11" i="26"/>
  <c r="O12" i="26"/>
  <c r="D20" i="52" s="1"/>
  <c r="O13" i="26"/>
  <c r="O14" i="26"/>
  <c r="D28" i="47" s="1"/>
  <c r="D55" i="47" s="1"/>
  <c r="O15" i="26"/>
  <c r="D29" i="47" s="1"/>
  <c r="D56" i="47" s="1"/>
  <c r="D150" i="47" s="1"/>
  <c r="O16" i="26"/>
  <c r="O17" i="26"/>
  <c r="O18" i="26"/>
  <c r="O19" i="26"/>
  <c r="O20" i="26"/>
  <c r="O21" i="26"/>
  <c r="O22" i="26"/>
  <c r="O23" i="26"/>
  <c r="O24" i="26"/>
  <c r="O25" i="26"/>
  <c r="O26" i="26"/>
  <c r="O27" i="26"/>
  <c r="V5" i="26"/>
  <c r="V6" i="26"/>
  <c r="V10" i="26"/>
  <c r="V11" i="26"/>
  <c r="V12" i="26"/>
  <c r="E20" i="52" s="1"/>
  <c r="E103" i="52" s="1"/>
  <c r="V13" i="26"/>
  <c r="E27" i="47" s="1"/>
  <c r="V14" i="26"/>
  <c r="E28" i="47" s="1"/>
  <c r="V15" i="26"/>
  <c r="E29" i="47" s="1"/>
  <c r="E56" i="47" s="1"/>
  <c r="E150" i="47" s="1"/>
  <c r="V16" i="26"/>
  <c r="V17" i="26"/>
  <c r="V18" i="26"/>
  <c r="V19" i="26"/>
  <c r="V20" i="26"/>
  <c r="V21" i="26"/>
  <c r="V22" i="26"/>
  <c r="V23" i="26"/>
  <c r="V24" i="26"/>
  <c r="V25" i="26"/>
  <c r="V26" i="26"/>
  <c r="V27" i="26"/>
  <c r="AC5" i="26"/>
  <c r="AC6" i="26"/>
  <c r="AC10" i="26"/>
  <c r="AC11" i="26"/>
  <c r="AC12" i="26"/>
  <c r="F20" i="52" s="1"/>
  <c r="F103" i="52" s="1"/>
  <c r="AC13" i="26"/>
  <c r="F27" i="47" s="1"/>
  <c r="F54" i="47" s="1"/>
  <c r="AC14" i="26"/>
  <c r="F28" i="47" s="1"/>
  <c r="AC15" i="26"/>
  <c r="F29" i="47" s="1"/>
  <c r="F56" i="47" s="1"/>
  <c r="F150" i="47" s="1"/>
  <c r="AC16" i="26"/>
  <c r="AC17" i="26"/>
  <c r="AC18" i="26"/>
  <c r="AC19" i="26"/>
  <c r="AC20" i="26"/>
  <c r="AC21" i="26"/>
  <c r="AC22" i="26"/>
  <c r="AC23" i="26"/>
  <c r="AC24" i="26"/>
  <c r="AC25" i="26"/>
  <c r="AC26" i="26"/>
  <c r="AC27" i="26"/>
  <c r="AJ5" i="26"/>
  <c r="AJ6" i="26"/>
  <c r="AJ10" i="26"/>
  <c r="AJ11" i="26"/>
  <c r="AJ12" i="26"/>
  <c r="G20" i="52" s="1"/>
  <c r="G103" i="52" s="1"/>
  <c r="AJ13" i="26"/>
  <c r="G27" i="47" s="1"/>
  <c r="G54" i="47" s="1"/>
  <c r="G148" i="47" s="1"/>
  <c r="F10" i="32" s="1"/>
  <c r="AJ14" i="26"/>
  <c r="G28" i="47" s="1"/>
  <c r="G55" i="47" s="1"/>
  <c r="AJ15" i="26"/>
  <c r="G29" i="47" s="1"/>
  <c r="AJ16" i="26"/>
  <c r="AJ17" i="26"/>
  <c r="AJ18" i="26"/>
  <c r="AJ19" i="26"/>
  <c r="AJ20" i="26"/>
  <c r="AJ21" i="26"/>
  <c r="AJ22" i="26"/>
  <c r="AJ23" i="26"/>
  <c r="AJ24" i="26"/>
  <c r="AJ25" i="26"/>
  <c r="AJ26" i="26"/>
  <c r="AJ27" i="26"/>
  <c r="AQ5" i="26"/>
  <c r="AQ6" i="26"/>
  <c r="AQ10" i="26"/>
  <c r="AQ11" i="26"/>
  <c r="AQ12" i="26"/>
  <c r="H20" i="52" s="1"/>
  <c r="H103" i="52" s="1"/>
  <c r="AQ13" i="26"/>
  <c r="H27" i="47" s="1"/>
  <c r="H54" i="47" s="1"/>
  <c r="H148" i="47" s="1"/>
  <c r="G10" i="32" s="1"/>
  <c r="AQ14" i="26"/>
  <c r="H28" i="47" s="1"/>
  <c r="H55" i="47" s="1"/>
  <c r="AQ15" i="26"/>
  <c r="H29" i="47" s="1"/>
  <c r="H56" i="47" s="1"/>
  <c r="H150" i="47" s="1"/>
  <c r="AQ16" i="26"/>
  <c r="AQ17" i="26"/>
  <c r="AQ18" i="26"/>
  <c r="AQ19" i="26"/>
  <c r="AQ20" i="26"/>
  <c r="AQ21" i="26"/>
  <c r="AQ22" i="26"/>
  <c r="AQ23" i="26"/>
  <c r="AQ24" i="26"/>
  <c r="AQ25" i="26"/>
  <c r="AQ26" i="26"/>
  <c r="AQ27" i="26"/>
  <c r="AX5" i="26"/>
  <c r="AX6" i="26"/>
  <c r="AX10" i="26"/>
  <c r="AX11" i="26"/>
  <c r="AX12" i="26"/>
  <c r="I20" i="52" s="1"/>
  <c r="I103" i="52" s="1"/>
  <c r="AX13" i="26"/>
  <c r="I27" i="47" s="1"/>
  <c r="AX14" i="26"/>
  <c r="I28" i="47" s="1"/>
  <c r="I55" i="47" s="1"/>
  <c r="AX15" i="26"/>
  <c r="I29" i="47" s="1"/>
  <c r="AX16" i="26"/>
  <c r="AX17" i="26"/>
  <c r="AX18" i="26"/>
  <c r="AX19" i="26"/>
  <c r="AX20" i="26"/>
  <c r="AX21" i="26"/>
  <c r="AX22" i="26"/>
  <c r="AX23" i="26"/>
  <c r="AX24" i="26"/>
  <c r="AX25" i="26"/>
  <c r="AX26" i="26"/>
  <c r="AX27" i="26"/>
  <c r="BE5" i="26"/>
  <c r="BE6" i="26"/>
  <c r="BE10" i="26"/>
  <c r="BE11" i="26"/>
  <c r="BE12" i="26"/>
  <c r="J20" i="52" s="1"/>
  <c r="J103" i="52" s="1"/>
  <c r="BE13" i="26"/>
  <c r="J27" i="47" s="1"/>
  <c r="J54" i="47" s="1"/>
  <c r="J148" i="47" s="1"/>
  <c r="I10" i="32" s="1"/>
  <c r="BE14" i="26"/>
  <c r="J28" i="47" s="1"/>
  <c r="J55" i="47" s="1"/>
  <c r="J149" i="47" s="1"/>
  <c r="I11" i="32" s="1"/>
  <c r="BE15" i="26"/>
  <c r="J29" i="47" s="1"/>
  <c r="J56" i="47" s="1"/>
  <c r="BE16" i="26"/>
  <c r="BE17" i="26"/>
  <c r="BE18" i="26"/>
  <c r="BE19" i="26"/>
  <c r="BE20" i="26"/>
  <c r="BE21" i="26"/>
  <c r="BE22" i="26"/>
  <c r="BE23" i="26"/>
  <c r="BE24" i="26"/>
  <c r="BE25" i="26"/>
  <c r="BE26" i="26"/>
  <c r="BE27" i="26"/>
  <c r="BL5" i="26"/>
  <c r="BL6" i="26"/>
  <c r="BL10" i="26"/>
  <c r="BL11" i="26"/>
  <c r="BL16" i="26"/>
  <c r="BL17" i="26"/>
  <c r="BL18" i="26"/>
  <c r="BL19" i="26"/>
  <c r="BL20" i="26"/>
  <c r="BL21" i="26"/>
  <c r="BL22" i="26"/>
  <c r="BL23" i="26"/>
  <c r="BL24" i="26"/>
  <c r="BL25" i="26"/>
  <c r="BL26" i="26"/>
  <c r="BL27" i="26"/>
  <c r="D8" i="48"/>
  <c r="D9" i="48"/>
  <c r="D10" i="48"/>
  <c r="D13" i="48"/>
  <c r="D14" i="48"/>
  <c r="D15" i="48"/>
  <c r="D18" i="48"/>
  <c r="D19" i="48"/>
  <c r="D20" i="48"/>
  <c r="E8" i="48"/>
  <c r="E9" i="48"/>
  <c r="E10" i="48"/>
  <c r="E13" i="48"/>
  <c r="E14" i="48"/>
  <c r="E15" i="48"/>
  <c r="E18" i="48"/>
  <c r="E19" i="48"/>
  <c r="E20" i="48"/>
  <c r="N5" i="32"/>
  <c r="D4" i="18" s="1"/>
  <c r="N6" i="32"/>
  <c r="D5" i="18" s="1"/>
  <c r="C87" i="47"/>
  <c r="D75" i="61" s="1"/>
  <c r="D87" i="47"/>
  <c r="E75" i="61" s="1"/>
  <c r="D49" i="52"/>
  <c r="E87" i="47"/>
  <c r="F75" i="61" s="1"/>
  <c r="E49" i="52"/>
  <c r="F87" i="47"/>
  <c r="G75" i="61" s="1"/>
  <c r="F49" i="52"/>
  <c r="G87" i="47"/>
  <c r="H75" i="61" s="1"/>
  <c r="G49" i="52"/>
  <c r="H87" i="47"/>
  <c r="I75" i="61" s="1"/>
  <c r="H49" i="52"/>
  <c r="I87" i="47"/>
  <c r="J75" i="61" s="1"/>
  <c r="I49" i="52"/>
  <c r="J87" i="47"/>
  <c r="K75" i="61" s="1"/>
  <c r="J49" i="52"/>
  <c r="K87" i="47"/>
  <c r="L75" i="61" s="1"/>
  <c r="K49" i="52"/>
  <c r="L87" i="47"/>
  <c r="M75" i="61" s="1"/>
  <c r="L49" i="52"/>
  <c r="M87" i="47"/>
  <c r="N75" i="61" s="1"/>
  <c r="M49" i="52"/>
  <c r="N87" i="47"/>
  <c r="N49" i="52"/>
  <c r="O75" i="61" s="1"/>
  <c r="O4" i="56"/>
  <c r="S4" i="52"/>
  <c r="R4" i="52"/>
  <c r="Q4" i="52"/>
  <c r="P4" i="52"/>
  <c r="O4" i="52"/>
  <c r="R127" i="47"/>
  <c r="Q127" i="47"/>
  <c r="P127" i="47"/>
  <c r="R125" i="47"/>
  <c r="Q125" i="47"/>
  <c r="P125" i="47"/>
  <c r="S125" i="47"/>
  <c r="S63" i="47"/>
  <c r="R63" i="47"/>
  <c r="Q63" i="47"/>
  <c r="P63" i="47"/>
  <c r="O63" i="47"/>
  <c r="S58" i="56"/>
  <c r="R58" i="56"/>
  <c r="Q58" i="56"/>
  <c r="P58" i="56"/>
  <c r="O58" i="56"/>
  <c r="S4" i="47"/>
  <c r="R4" i="47"/>
  <c r="Q4" i="47"/>
  <c r="P4" i="47"/>
  <c r="O4" i="47"/>
  <c r="N33" i="47"/>
  <c r="M33" i="47"/>
  <c r="R6" i="47"/>
  <c r="K33" i="47"/>
  <c r="J33" i="47"/>
  <c r="I33" i="47"/>
  <c r="H33" i="47"/>
  <c r="G33" i="47"/>
  <c r="F33" i="47"/>
  <c r="E33" i="47"/>
  <c r="D33" i="47"/>
  <c r="N126" i="47"/>
  <c r="M126" i="47"/>
  <c r="L126" i="47"/>
  <c r="K126" i="47"/>
  <c r="J126" i="47"/>
  <c r="I126" i="47"/>
  <c r="H126" i="47"/>
  <c r="G126" i="47"/>
  <c r="F126" i="47"/>
  <c r="E126" i="47"/>
  <c r="D126" i="47"/>
  <c r="C127" i="47"/>
  <c r="C126" i="47"/>
  <c r="R86" i="52"/>
  <c r="P5" i="56"/>
  <c r="S86" i="52"/>
  <c r="P86" i="52"/>
  <c r="Q86" i="52"/>
  <c r="O5" i="47"/>
  <c r="C33" i="47"/>
  <c r="O86" i="52"/>
  <c r="P5" i="47"/>
  <c r="R5" i="47"/>
  <c r="Q6" i="47"/>
  <c r="Q5" i="47"/>
  <c r="S5" i="47"/>
  <c r="Q5" i="56"/>
  <c r="R5" i="56"/>
  <c r="P6" i="56"/>
  <c r="R6" i="56"/>
  <c r="O6" i="56"/>
  <c r="Q6" i="56"/>
  <c r="S5" i="56"/>
  <c r="O5" i="56"/>
  <c r="S6" i="56"/>
  <c r="C26" i="32"/>
  <c r="D26" i="32"/>
  <c r="E26" i="32"/>
  <c r="F26" i="32"/>
  <c r="G26" i="32"/>
  <c r="H26" i="32"/>
  <c r="I26" i="32"/>
  <c r="J26" i="32"/>
  <c r="K26" i="32"/>
  <c r="L26" i="32"/>
  <c r="M26" i="32"/>
  <c r="B26" i="32"/>
  <c r="N25" i="32"/>
  <c r="W31" i="36"/>
  <c r="K31" i="36"/>
  <c r="G31" i="36"/>
  <c r="A5" i="57"/>
  <c r="BM25" i="26"/>
  <c r="O77" i="52"/>
  <c r="P77" i="52"/>
  <c r="Q77" i="52"/>
  <c r="R77" i="52"/>
  <c r="O78" i="52"/>
  <c r="P78" i="52"/>
  <c r="Q78" i="52"/>
  <c r="R78" i="52"/>
  <c r="R71" i="52"/>
  <c r="Q71" i="52"/>
  <c r="P71" i="52"/>
  <c r="O71" i="52"/>
  <c r="R74" i="52"/>
  <c r="Q74" i="52"/>
  <c r="P74" i="52"/>
  <c r="O74" i="52"/>
  <c r="R68" i="52"/>
  <c r="Q68" i="52"/>
  <c r="P68" i="52"/>
  <c r="O68" i="52"/>
  <c r="R65" i="52"/>
  <c r="Q65" i="52"/>
  <c r="P65" i="52"/>
  <c r="O65" i="52"/>
  <c r="R62" i="52"/>
  <c r="Q62" i="52"/>
  <c r="P62" i="52"/>
  <c r="O62" i="52"/>
  <c r="R59" i="52"/>
  <c r="Q59" i="52"/>
  <c r="P59" i="52"/>
  <c r="O59" i="52"/>
  <c r="D72" i="52"/>
  <c r="D34" i="57" s="1"/>
  <c r="E72" i="52"/>
  <c r="E34" i="57" s="1"/>
  <c r="F72" i="52"/>
  <c r="F73" i="52" s="1"/>
  <c r="G72" i="52"/>
  <c r="G101" i="52" s="1"/>
  <c r="H72" i="52"/>
  <c r="H101" i="52" s="1"/>
  <c r="I72" i="52"/>
  <c r="I101" i="52" s="1"/>
  <c r="J72" i="52"/>
  <c r="K72" i="52"/>
  <c r="K73" i="52" s="1"/>
  <c r="L72" i="52"/>
  <c r="M72" i="52"/>
  <c r="M34" i="57" s="1"/>
  <c r="N72" i="52"/>
  <c r="C72" i="52"/>
  <c r="C73" i="52" s="1"/>
  <c r="D69" i="52"/>
  <c r="E69" i="52"/>
  <c r="E98" i="52" s="1"/>
  <c r="F69" i="52"/>
  <c r="F70" i="52" s="1"/>
  <c r="G69" i="52"/>
  <c r="G98" i="52" s="1"/>
  <c r="H69" i="52"/>
  <c r="H98" i="52" s="1"/>
  <c r="I69" i="52"/>
  <c r="J69" i="52"/>
  <c r="J70" i="52" s="1"/>
  <c r="K69" i="52"/>
  <c r="K98" i="52" s="1"/>
  <c r="L69" i="52"/>
  <c r="M69" i="52"/>
  <c r="M98" i="52" s="1"/>
  <c r="N69" i="52"/>
  <c r="N98" i="52" s="1"/>
  <c r="C69" i="52"/>
  <c r="D66" i="52"/>
  <c r="D95" i="52" s="1"/>
  <c r="E66" i="52"/>
  <c r="F66" i="52"/>
  <c r="G66" i="52"/>
  <c r="G67" i="52" s="1"/>
  <c r="H66" i="52"/>
  <c r="H95" i="52" s="1"/>
  <c r="I66" i="52"/>
  <c r="I95" i="52" s="1"/>
  <c r="J66" i="52"/>
  <c r="J95" i="52" s="1"/>
  <c r="K66" i="52"/>
  <c r="K31" i="57" s="1"/>
  <c r="L77" i="60" s="1"/>
  <c r="L66" i="52"/>
  <c r="L95" i="52" s="1"/>
  <c r="M66" i="52"/>
  <c r="M67" i="52" s="1"/>
  <c r="N66" i="52"/>
  <c r="C66" i="52"/>
  <c r="C31" i="57" s="1"/>
  <c r="D77" i="60" s="1"/>
  <c r="AW19" i="36"/>
  <c r="AY19" i="36" s="1"/>
  <c r="AO19" i="36"/>
  <c r="AQ19" i="36" s="1"/>
  <c r="AK19" i="36"/>
  <c r="AM19" i="36" s="1"/>
  <c r="AG19" i="36"/>
  <c r="AI19" i="36" s="1"/>
  <c r="AC19" i="36"/>
  <c r="AE19" i="36" s="1"/>
  <c r="Y19" i="36"/>
  <c r="AA19" i="36" s="1"/>
  <c r="U19" i="36"/>
  <c r="W19" i="36" s="1"/>
  <c r="Q19" i="36"/>
  <c r="M19" i="36"/>
  <c r="I19" i="36"/>
  <c r="K19" i="36" s="1"/>
  <c r="E19" i="36"/>
  <c r="G19" i="36" s="1"/>
  <c r="O9" i="27"/>
  <c r="CJ9" i="26"/>
  <c r="CK9" i="26"/>
  <c r="CL9" i="26"/>
  <c r="CM9" i="26"/>
  <c r="CH9" i="26"/>
  <c r="CA9" i="26"/>
  <c r="BT9" i="26"/>
  <c r="BM9" i="26"/>
  <c r="BF9" i="26"/>
  <c r="AY9" i="26"/>
  <c r="AR9" i="26"/>
  <c r="AK9" i="26"/>
  <c r="AD9" i="26"/>
  <c r="W9" i="26"/>
  <c r="P9" i="26"/>
  <c r="I9" i="26"/>
  <c r="R51" i="56"/>
  <c r="R50" i="56"/>
  <c r="R49" i="56"/>
  <c r="R47" i="56"/>
  <c r="R40" i="56"/>
  <c r="R39" i="56"/>
  <c r="R38" i="56"/>
  <c r="R37" i="56"/>
  <c r="R36" i="56"/>
  <c r="R35" i="56"/>
  <c r="R18" i="56"/>
  <c r="R17" i="56"/>
  <c r="R16" i="56"/>
  <c r="R14" i="56"/>
  <c r="R11" i="56"/>
  <c r="R10" i="56"/>
  <c r="R9" i="56"/>
  <c r="R7" i="56"/>
  <c r="S51" i="56"/>
  <c r="Q51" i="56"/>
  <c r="P51" i="56"/>
  <c r="O51" i="56"/>
  <c r="S50" i="56"/>
  <c r="Q50" i="56"/>
  <c r="P50" i="56"/>
  <c r="O50" i="56"/>
  <c r="S49" i="56"/>
  <c r="Q49" i="56"/>
  <c r="P49" i="56"/>
  <c r="O49" i="56"/>
  <c r="S47" i="56"/>
  <c r="Q47" i="56"/>
  <c r="P47" i="56"/>
  <c r="O47" i="56"/>
  <c r="O40" i="56"/>
  <c r="O39" i="56"/>
  <c r="O38" i="56"/>
  <c r="O37" i="56"/>
  <c r="O36" i="56"/>
  <c r="O35" i="56"/>
  <c r="O16" i="56"/>
  <c r="O17" i="56"/>
  <c r="O18" i="56"/>
  <c r="O14" i="56"/>
  <c r="O9" i="56"/>
  <c r="O10" i="56"/>
  <c r="O11" i="56"/>
  <c r="O7" i="56"/>
  <c r="D44" i="47"/>
  <c r="D138" i="47" s="1"/>
  <c r="E44" i="47"/>
  <c r="E138" i="47" s="1"/>
  <c r="F44" i="47"/>
  <c r="F138" i="47" s="1"/>
  <c r="G44" i="47"/>
  <c r="G138" i="47" s="1"/>
  <c r="H44" i="47"/>
  <c r="H138" i="47" s="1"/>
  <c r="I44" i="47"/>
  <c r="I138" i="47" s="1"/>
  <c r="J44" i="47"/>
  <c r="J138" i="47" s="1"/>
  <c r="K44" i="47"/>
  <c r="K138" i="47" s="1"/>
  <c r="L44" i="47"/>
  <c r="M44" i="47"/>
  <c r="M138" i="47" s="1"/>
  <c r="N44" i="47"/>
  <c r="N138" i="47" s="1"/>
  <c r="D43" i="47"/>
  <c r="D137" i="47" s="1"/>
  <c r="E43" i="47"/>
  <c r="F43" i="47"/>
  <c r="F137" i="47" s="1"/>
  <c r="G43" i="47"/>
  <c r="H43" i="47"/>
  <c r="H137" i="47" s="1"/>
  <c r="I43" i="47"/>
  <c r="J43" i="47"/>
  <c r="K43" i="47"/>
  <c r="K137" i="47" s="1"/>
  <c r="L43" i="47"/>
  <c r="L137" i="47" s="1"/>
  <c r="M43" i="47"/>
  <c r="N43" i="47"/>
  <c r="N137" i="47" s="1"/>
  <c r="G42" i="47"/>
  <c r="G136" i="47" s="1"/>
  <c r="H42" i="47"/>
  <c r="H136" i="47" s="1"/>
  <c r="I42" i="47"/>
  <c r="J42" i="47"/>
  <c r="J136" i="47" s="1"/>
  <c r="K42" i="47"/>
  <c r="K136" i="47" s="1"/>
  <c r="L42" i="47"/>
  <c r="M42" i="47"/>
  <c r="M136" i="47" s="1"/>
  <c r="N42" i="47"/>
  <c r="N136" i="47" s="1"/>
  <c r="F42" i="47"/>
  <c r="D42" i="47"/>
  <c r="D136" i="47" s="1"/>
  <c r="E42" i="47"/>
  <c r="E136" i="47" s="1"/>
  <c r="C43" i="47"/>
  <c r="C137" i="47" s="1"/>
  <c r="C44" i="47"/>
  <c r="C138" i="47" s="1"/>
  <c r="C42" i="47"/>
  <c r="C136" i="47" s="1"/>
  <c r="R50" i="52"/>
  <c r="Q50" i="52"/>
  <c r="P50" i="52"/>
  <c r="O50" i="52"/>
  <c r="R48" i="52"/>
  <c r="Q48" i="52"/>
  <c r="P48" i="52"/>
  <c r="R47" i="52"/>
  <c r="Q47" i="52"/>
  <c r="P47" i="52"/>
  <c r="O47" i="52"/>
  <c r="R45" i="52"/>
  <c r="Q45" i="52"/>
  <c r="P45" i="52"/>
  <c r="O45" i="52"/>
  <c r="R42" i="52"/>
  <c r="Q42" i="52"/>
  <c r="P42" i="52"/>
  <c r="O42" i="52"/>
  <c r="R39" i="52"/>
  <c r="Q39" i="52"/>
  <c r="P39" i="52"/>
  <c r="O39" i="52"/>
  <c r="R36" i="52"/>
  <c r="Q36" i="52"/>
  <c r="P36" i="52"/>
  <c r="O36" i="52"/>
  <c r="R33" i="52"/>
  <c r="Q33" i="52"/>
  <c r="P33" i="52"/>
  <c r="O33" i="52"/>
  <c r="R84" i="47"/>
  <c r="R87" i="47" s="1"/>
  <c r="Q84" i="47"/>
  <c r="Q87" i="47" s="1"/>
  <c r="P84" i="47"/>
  <c r="P87" i="47" s="1"/>
  <c r="O84" i="47"/>
  <c r="O87" i="47" s="1"/>
  <c r="R80" i="47"/>
  <c r="R83" i="47" s="1"/>
  <c r="Q80" i="47"/>
  <c r="Q83" i="47" s="1"/>
  <c r="P80" i="47"/>
  <c r="P83" i="47" s="1"/>
  <c r="O80" i="47"/>
  <c r="O83" i="47" s="1"/>
  <c r="R76" i="47"/>
  <c r="R79" i="47" s="1"/>
  <c r="Q76" i="47"/>
  <c r="Q79" i="47" s="1"/>
  <c r="P76" i="47"/>
  <c r="P79" i="47" s="1"/>
  <c r="O76" i="47"/>
  <c r="O79" i="47" s="1"/>
  <c r="R72" i="47"/>
  <c r="R75" i="47" s="1"/>
  <c r="Q72" i="47"/>
  <c r="Q75" i="47" s="1"/>
  <c r="P72" i="47"/>
  <c r="P75" i="47" s="1"/>
  <c r="O72" i="47"/>
  <c r="O75" i="47" s="1"/>
  <c r="R68" i="47"/>
  <c r="R71" i="47" s="1"/>
  <c r="Q68" i="47"/>
  <c r="Q71" i="47" s="1"/>
  <c r="P68" i="47"/>
  <c r="P71" i="47" s="1"/>
  <c r="O68" i="47"/>
  <c r="O71" i="47" s="1"/>
  <c r="R64" i="47"/>
  <c r="R67" i="47" s="1"/>
  <c r="Q64" i="47"/>
  <c r="Q67" i="47" s="1"/>
  <c r="P64" i="47"/>
  <c r="P67" i="47" s="1"/>
  <c r="O64" i="47"/>
  <c r="O67" i="47" s="1"/>
  <c r="R25" i="47"/>
  <c r="Q25" i="47"/>
  <c r="P25" i="47"/>
  <c r="O25" i="47"/>
  <c r="R24" i="47"/>
  <c r="Q24" i="47"/>
  <c r="P24" i="47"/>
  <c r="O24" i="47"/>
  <c r="R23" i="47"/>
  <c r="Q23" i="47"/>
  <c r="P23" i="47"/>
  <c r="O23" i="47"/>
  <c r="R21" i="47"/>
  <c r="Q21" i="47"/>
  <c r="P21" i="47"/>
  <c r="O21" i="47"/>
  <c r="R20" i="47"/>
  <c r="Q20" i="47"/>
  <c r="P20" i="47"/>
  <c r="O20" i="47"/>
  <c r="R19" i="47"/>
  <c r="Q19" i="47"/>
  <c r="P19" i="47"/>
  <c r="O19" i="47"/>
  <c r="R17" i="47"/>
  <c r="Q17" i="47"/>
  <c r="P17" i="47"/>
  <c r="O17" i="47"/>
  <c r="R16" i="47"/>
  <c r="Q16" i="47"/>
  <c r="P16" i="47"/>
  <c r="O16" i="47"/>
  <c r="R15" i="47"/>
  <c r="Q15" i="47"/>
  <c r="P15" i="47"/>
  <c r="O15" i="47"/>
  <c r="R9" i="47"/>
  <c r="Q9" i="47"/>
  <c r="P9" i="47"/>
  <c r="O9" i="47"/>
  <c r="R8" i="47"/>
  <c r="Q8" i="47"/>
  <c r="P8" i="47"/>
  <c r="O8" i="47"/>
  <c r="R7" i="47"/>
  <c r="Q7" i="47"/>
  <c r="P7" i="47"/>
  <c r="O7" i="47"/>
  <c r="Q18" i="56"/>
  <c r="P18" i="56"/>
  <c r="Q17" i="56"/>
  <c r="P17" i="56"/>
  <c r="Q16" i="56"/>
  <c r="P16" i="56"/>
  <c r="Q14" i="56"/>
  <c r="P14" i="56"/>
  <c r="Q40" i="56"/>
  <c r="P40" i="56"/>
  <c r="Q39" i="56"/>
  <c r="P39" i="56"/>
  <c r="Q38" i="56"/>
  <c r="P38" i="56"/>
  <c r="Q37" i="56"/>
  <c r="P37" i="56"/>
  <c r="Q36" i="56"/>
  <c r="P36" i="56"/>
  <c r="Q35" i="56"/>
  <c r="P35" i="56"/>
  <c r="Q11" i="56"/>
  <c r="P11" i="56"/>
  <c r="Q10" i="56"/>
  <c r="P10" i="56"/>
  <c r="Q9" i="56"/>
  <c r="P9" i="56"/>
  <c r="Q7" i="56"/>
  <c r="P7" i="56"/>
  <c r="B25" i="48"/>
  <c r="B24" i="48"/>
  <c r="B23" i="48"/>
  <c r="B20" i="48"/>
  <c r="B19" i="48"/>
  <c r="B18" i="48"/>
  <c r="B15" i="48"/>
  <c r="B14" i="48"/>
  <c r="B13" i="48"/>
  <c r="B10" i="48"/>
  <c r="C24" i="39"/>
  <c r="D24" i="39"/>
  <c r="E24" i="39"/>
  <c r="F24" i="39"/>
  <c r="G24" i="39"/>
  <c r="B24" i="39"/>
  <c r="O22" i="22"/>
  <c r="C3" i="32"/>
  <c r="D3" i="32"/>
  <c r="E3" i="32"/>
  <c r="F3" i="32"/>
  <c r="G3" i="32"/>
  <c r="H3" i="32"/>
  <c r="I3" i="32"/>
  <c r="J3" i="32"/>
  <c r="K3" i="32"/>
  <c r="L3" i="32"/>
  <c r="M3" i="32"/>
  <c r="B3" i="32"/>
  <c r="C32" i="48"/>
  <c r="F32" i="48"/>
  <c r="D32" i="48"/>
  <c r="E32" i="48"/>
  <c r="B32" i="48"/>
  <c r="B9" i="48"/>
  <c r="B8" i="48"/>
  <c r="D23" i="57"/>
  <c r="E23" i="57"/>
  <c r="F23" i="57"/>
  <c r="G23" i="57"/>
  <c r="H23" i="57"/>
  <c r="I23" i="57"/>
  <c r="J23" i="57"/>
  <c r="K23" i="57"/>
  <c r="L23" i="57"/>
  <c r="M23" i="57"/>
  <c r="N23" i="57"/>
  <c r="D22" i="57"/>
  <c r="E22" i="57"/>
  <c r="F22" i="57"/>
  <c r="G22" i="57"/>
  <c r="H22" i="57"/>
  <c r="I22" i="57"/>
  <c r="J22" i="57"/>
  <c r="K22" i="57"/>
  <c r="L22" i="57"/>
  <c r="M22" i="57"/>
  <c r="N22" i="57"/>
  <c r="D24" i="57"/>
  <c r="E24" i="57"/>
  <c r="F24" i="57"/>
  <c r="G24" i="57"/>
  <c r="H24" i="57"/>
  <c r="I24" i="57"/>
  <c r="J24" i="57"/>
  <c r="K24" i="57"/>
  <c r="L24" i="57"/>
  <c r="M24" i="57"/>
  <c r="N24" i="57"/>
  <c r="D21" i="57"/>
  <c r="E48" i="60" s="1"/>
  <c r="E21" i="57"/>
  <c r="F48" i="60" s="1"/>
  <c r="F21" i="57"/>
  <c r="G48" i="60" s="1"/>
  <c r="G21" i="57"/>
  <c r="H48" i="60" s="1"/>
  <c r="H21" i="57"/>
  <c r="I48" i="60" s="1"/>
  <c r="I21" i="57"/>
  <c r="J48" i="60" s="1"/>
  <c r="J21" i="57"/>
  <c r="K48" i="60" s="1"/>
  <c r="K21" i="57"/>
  <c r="L48" i="60" s="1"/>
  <c r="L21" i="57"/>
  <c r="M48" i="60" s="1"/>
  <c r="M21" i="57"/>
  <c r="N48" i="60" s="1"/>
  <c r="N21" i="57"/>
  <c r="O48" i="60" s="1"/>
  <c r="D20" i="57"/>
  <c r="E47" i="60" s="1"/>
  <c r="E20" i="57"/>
  <c r="F47" i="60" s="1"/>
  <c r="F20" i="57"/>
  <c r="G47" i="60" s="1"/>
  <c r="G20" i="57"/>
  <c r="H47" i="60" s="1"/>
  <c r="H20" i="57"/>
  <c r="I47" i="60" s="1"/>
  <c r="I20" i="57"/>
  <c r="J47" i="60" s="1"/>
  <c r="J20" i="57"/>
  <c r="K47" i="60" s="1"/>
  <c r="K20" i="57"/>
  <c r="L47" i="60" s="1"/>
  <c r="L20" i="57"/>
  <c r="M47" i="60" s="1"/>
  <c r="M20" i="57"/>
  <c r="N47" i="60" s="1"/>
  <c r="N20" i="57"/>
  <c r="O47" i="60" s="1"/>
  <c r="C20" i="57"/>
  <c r="D47" i="60" s="1"/>
  <c r="C21" i="57"/>
  <c r="D48" i="60" s="1"/>
  <c r="C24" i="57"/>
  <c r="C22" i="57"/>
  <c r="C23" i="57"/>
  <c r="C58" i="52"/>
  <c r="C11" i="57"/>
  <c r="D19" i="60" s="1"/>
  <c r="C14" i="57"/>
  <c r="D10" i="57"/>
  <c r="E18" i="60" s="1"/>
  <c r="G10" i="57"/>
  <c r="H18" i="60" s="1"/>
  <c r="H10" i="57"/>
  <c r="I18" i="60" s="1"/>
  <c r="J10" i="57"/>
  <c r="K18" i="60" s="1"/>
  <c r="K10" i="57"/>
  <c r="L18" i="60" s="1"/>
  <c r="M10" i="57"/>
  <c r="N18" i="60" s="1"/>
  <c r="N10" i="57"/>
  <c r="O18" i="60" s="1"/>
  <c r="D14" i="57"/>
  <c r="G14" i="57"/>
  <c r="H14" i="57"/>
  <c r="J14" i="57"/>
  <c r="K14" i="57"/>
  <c r="M14" i="57"/>
  <c r="N14" i="57"/>
  <c r="D11" i="57"/>
  <c r="E19" i="60" s="1"/>
  <c r="G11" i="57"/>
  <c r="H19" i="60" s="1"/>
  <c r="H11" i="57"/>
  <c r="I19" i="60" s="1"/>
  <c r="J11" i="57"/>
  <c r="K19" i="60" s="1"/>
  <c r="K11" i="57"/>
  <c r="L19" i="60" s="1"/>
  <c r="M11" i="57"/>
  <c r="N19" i="60" s="1"/>
  <c r="N11" i="57"/>
  <c r="O19" i="60" s="1"/>
  <c r="D13" i="57"/>
  <c r="G13" i="57"/>
  <c r="H13" i="57"/>
  <c r="J13" i="57"/>
  <c r="K13" i="57"/>
  <c r="M13" i="57"/>
  <c r="N13" i="57"/>
  <c r="N30" i="52"/>
  <c r="M30" i="52"/>
  <c r="L30" i="52"/>
  <c r="K30" i="52"/>
  <c r="J30" i="52"/>
  <c r="J16" i="57" s="1"/>
  <c r="K36" i="60" s="1"/>
  <c r="I30" i="52"/>
  <c r="H30" i="52"/>
  <c r="G30" i="52"/>
  <c r="F30" i="52"/>
  <c r="E30" i="52"/>
  <c r="E16" i="57" s="1"/>
  <c r="F36" i="60" s="1"/>
  <c r="D30" i="52"/>
  <c r="L13" i="57"/>
  <c r="R6" i="52"/>
  <c r="I10" i="57"/>
  <c r="J18" i="60" s="1"/>
  <c r="Q15" i="52"/>
  <c r="I14" i="57"/>
  <c r="Q18" i="52"/>
  <c r="L10" i="57"/>
  <c r="M18" i="60" s="1"/>
  <c r="R15" i="52"/>
  <c r="I11" i="57"/>
  <c r="J19" i="60" s="1"/>
  <c r="Q12" i="52"/>
  <c r="L14" i="57"/>
  <c r="R18" i="52"/>
  <c r="I13" i="57"/>
  <c r="Q6" i="52"/>
  <c r="L11" i="57"/>
  <c r="M19" i="60" s="1"/>
  <c r="R12" i="52"/>
  <c r="F14" i="57"/>
  <c r="P18" i="52"/>
  <c r="F10" i="57"/>
  <c r="G18" i="60" s="1"/>
  <c r="P15" i="52"/>
  <c r="F11" i="57"/>
  <c r="G19" i="60" s="1"/>
  <c r="P12" i="52"/>
  <c r="F13" i="57"/>
  <c r="P6" i="52"/>
  <c r="E14" i="57"/>
  <c r="O18" i="52"/>
  <c r="E10" i="57"/>
  <c r="F18" i="60" s="1"/>
  <c r="E11" i="57"/>
  <c r="F19" i="60" s="1"/>
  <c r="O12" i="52"/>
  <c r="E13" i="57"/>
  <c r="C13" i="57"/>
  <c r="C10" i="57"/>
  <c r="D18" i="60" s="1"/>
  <c r="O6" i="52"/>
  <c r="O15" i="52"/>
  <c r="S14" i="56"/>
  <c r="S18" i="56"/>
  <c r="S17" i="56"/>
  <c r="S16" i="56"/>
  <c r="N52" i="47"/>
  <c r="N146" i="47" s="1"/>
  <c r="M52" i="47"/>
  <c r="M146" i="47" s="1"/>
  <c r="L52" i="47"/>
  <c r="L146" i="47" s="1"/>
  <c r="K52" i="47"/>
  <c r="K146" i="47" s="1"/>
  <c r="J52" i="47"/>
  <c r="J146" i="47" s="1"/>
  <c r="I52" i="47"/>
  <c r="I146" i="47" s="1"/>
  <c r="H52" i="47"/>
  <c r="H146" i="47" s="1"/>
  <c r="G52" i="47"/>
  <c r="G146" i="47" s="1"/>
  <c r="F52" i="47"/>
  <c r="E52" i="47"/>
  <c r="E146" i="47" s="1"/>
  <c r="D52" i="47"/>
  <c r="N51" i="47"/>
  <c r="N145" i="47" s="1"/>
  <c r="M51" i="47"/>
  <c r="L51" i="47"/>
  <c r="L145" i="47" s="1"/>
  <c r="K51" i="47"/>
  <c r="K145" i="47" s="1"/>
  <c r="J51" i="47"/>
  <c r="J145" i="47" s="1"/>
  <c r="I51" i="47"/>
  <c r="H51" i="47"/>
  <c r="H145" i="47" s="1"/>
  <c r="G51" i="47"/>
  <c r="F51" i="47"/>
  <c r="F145" i="47" s="1"/>
  <c r="E51" i="47"/>
  <c r="E145" i="47" s="1"/>
  <c r="D51" i="47"/>
  <c r="D145" i="47" s="1"/>
  <c r="N50" i="47"/>
  <c r="N144" i="47" s="1"/>
  <c r="M50" i="47"/>
  <c r="M144" i="47" s="1"/>
  <c r="L50" i="47"/>
  <c r="K50" i="47"/>
  <c r="K144" i="47" s="1"/>
  <c r="J50" i="47"/>
  <c r="I50" i="47"/>
  <c r="I144" i="47" s="1"/>
  <c r="H50" i="47"/>
  <c r="H144" i="47" s="1"/>
  <c r="G50" i="47"/>
  <c r="G144" i="47" s="1"/>
  <c r="F50" i="47"/>
  <c r="E50" i="47"/>
  <c r="D50" i="47"/>
  <c r="D144" i="47" s="1"/>
  <c r="N48" i="47"/>
  <c r="N142" i="47" s="1"/>
  <c r="M48" i="47"/>
  <c r="M142" i="47" s="1"/>
  <c r="L48" i="47"/>
  <c r="L142" i="47" s="1"/>
  <c r="K48" i="47"/>
  <c r="K142" i="47" s="1"/>
  <c r="J48" i="47"/>
  <c r="J142" i="47" s="1"/>
  <c r="I48" i="47"/>
  <c r="I142" i="47" s="1"/>
  <c r="H48" i="47"/>
  <c r="H142" i="47" s="1"/>
  <c r="G48" i="47"/>
  <c r="G142" i="47" s="1"/>
  <c r="F48" i="47"/>
  <c r="F142" i="47" s="1"/>
  <c r="E48" i="47"/>
  <c r="D48" i="47"/>
  <c r="D142" i="47" s="1"/>
  <c r="N47" i="47"/>
  <c r="N141" i="47" s="1"/>
  <c r="M47" i="47"/>
  <c r="M141" i="47" s="1"/>
  <c r="L47" i="47"/>
  <c r="K47" i="47"/>
  <c r="K141" i="47" s="1"/>
  <c r="J47" i="47"/>
  <c r="J141" i="47" s="1"/>
  <c r="I47" i="47"/>
  <c r="I141" i="47" s="1"/>
  <c r="H47" i="47"/>
  <c r="H141" i="47" s="1"/>
  <c r="G47" i="47"/>
  <c r="G141" i="47" s="1"/>
  <c r="F47" i="47"/>
  <c r="F141" i="47" s="1"/>
  <c r="E47" i="47"/>
  <c r="E141" i="47" s="1"/>
  <c r="D47" i="47"/>
  <c r="N46" i="47"/>
  <c r="N140" i="47" s="1"/>
  <c r="M46" i="47"/>
  <c r="M140" i="47" s="1"/>
  <c r="L46" i="47"/>
  <c r="K46" i="47"/>
  <c r="J46" i="47"/>
  <c r="J140" i="47" s="1"/>
  <c r="I46" i="47"/>
  <c r="H46" i="47"/>
  <c r="H140" i="47" s="1"/>
  <c r="G46" i="47"/>
  <c r="G140" i="47" s="1"/>
  <c r="F46" i="47"/>
  <c r="F140" i="47" s="1"/>
  <c r="E46" i="47"/>
  <c r="E140" i="47" s="1"/>
  <c r="D46" i="47"/>
  <c r="D140" i="47" s="1"/>
  <c r="C51" i="47"/>
  <c r="C52" i="47"/>
  <c r="C146" i="47" s="1"/>
  <c r="C50" i="47"/>
  <c r="C47" i="47"/>
  <c r="C48" i="47"/>
  <c r="C142" i="47" s="1"/>
  <c r="C46" i="47"/>
  <c r="C140" i="47" s="1"/>
  <c r="S86" i="47"/>
  <c r="S85" i="47"/>
  <c r="S82" i="47"/>
  <c r="S81" i="47"/>
  <c r="S78" i="47"/>
  <c r="S77" i="47"/>
  <c r="S74" i="47"/>
  <c r="S73" i="47"/>
  <c r="S70" i="47"/>
  <c r="S69" i="47"/>
  <c r="N26" i="47"/>
  <c r="M26" i="47"/>
  <c r="L26" i="47"/>
  <c r="K26" i="47"/>
  <c r="J26" i="47"/>
  <c r="I26" i="47"/>
  <c r="H26" i="47"/>
  <c r="G26" i="47"/>
  <c r="F26" i="47"/>
  <c r="E26" i="47"/>
  <c r="D26" i="47"/>
  <c r="C26" i="47"/>
  <c r="S25" i="47"/>
  <c r="S24" i="47"/>
  <c r="S23" i="47"/>
  <c r="S21" i="47"/>
  <c r="S20" i="47"/>
  <c r="S19" i="47"/>
  <c r="S17" i="47"/>
  <c r="S16" i="47"/>
  <c r="S15" i="47"/>
  <c r="C10" i="47"/>
  <c r="O10" i="47" s="1"/>
  <c r="S9" i="47"/>
  <c r="S8" i="47"/>
  <c r="S7" i="47"/>
  <c r="AY31" i="36"/>
  <c r="AE31" i="36"/>
  <c r="AA31" i="36"/>
  <c r="S31" i="36"/>
  <c r="O31" i="36"/>
  <c r="AQ31" i="36"/>
  <c r="E30" i="36"/>
  <c r="G30" i="36" s="1"/>
  <c r="I30" i="36"/>
  <c r="K30" i="36" s="1"/>
  <c r="M30" i="36"/>
  <c r="Q30" i="36"/>
  <c r="U30" i="36"/>
  <c r="W30" i="36" s="1"/>
  <c r="C30" i="52"/>
  <c r="C16" i="57" s="1"/>
  <c r="D36" i="60" s="1"/>
  <c r="S84" i="47"/>
  <c r="S80" i="47"/>
  <c r="S76" i="47"/>
  <c r="S72" i="47"/>
  <c r="S68" i="47"/>
  <c r="S66" i="47"/>
  <c r="S65" i="47"/>
  <c r="S64" i="47"/>
  <c r="N27" i="56"/>
  <c r="N63" i="56" s="1"/>
  <c r="M27" i="56"/>
  <c r="L27" i="56"/>
  <c r="L63" i="56" s="1"/>
  <c r="K27" i="56"/>
  <c r="K63" i="56" s="1"/>
  <c r="J27" i="56"/>
  <c r="J63" i="56" s="1"/>
  <c r="I27" i="56"/>
  <c r="I63" i="56" s="1"/>
  <c r="H27" i="56"/>
  <c r="H63" i="56" s="1"/>
  <c r="G27" i="56"/>
  <c r="G63" i="56" s="1"/>
  <c r="F27" i="56"/>
  <c r="F63" i="56" s="1"/>
  <c r="E27" i="56"/>
  <c r="E63" i="56" s="1"/>
  <c r="D27" i="56"/>
  <c r="D63" i="56" s="1"/>
  <c r="N26" i="56"/>
  <c r="N62" i="56" s="1"/>
  <c r="M26" i="56"/>
  <c r="M62" i="56" s="1"/>
  <c r="L26" i="56"/>
  <c r="L62" i="56" s="1"/>
  <c r="K26" i="56"/>
  <c r="K62" i="56" s="1"/>
  <c r="J26" i="56"/>
  <c r="J62" i="56" s="1"/>
  <c r="I26" i="56"/>
  <c r="I62" i="56" s="1"/>
  <c r="H26" i="56"/>
  <c r="H62" i="56" s="1"/>
  <c r="G26" i="56"/>
  <c r="G62" i="56" s="1"/>
  <c r="F26" i="56"/>
  <c r="F62" i="56" s="1"/>
  <c r="E26" i="56"/>
  <c r="E62" i="56" s="1"/>
  <c r="D26" i="56"/>
  <c r="D62" i="56" s="1"/>
  <c r="N25" i="56"/>
  <c r="N61" i="56" s="1"/>
  <c r="M25" i="56"/>
  <c r="M61" i="56" s="1"/>
  <c r="L25" i="56"/>
  <c r="L61" i="56" s="1"/>
  <c r="K25" i="56"/>
  <c r="K61" i="56" s="1"/>
  <c r="J25" i="56"/>
  <c r="J61" i="56" s="1"/>
  <c r="I25" i="56"/>
  <c r="I61" i="56" s="1"/>
  <c r="H25" i="56"/>
  <c r="H61" i="56" s="1"/>
  <c r="G25" i="56"/>
  <c r="G61" i="56" s="1"/>
  <c r="F25" i="56"/>
  <c r="F61" i="56" s="1"/>
  <c r="E25" i="56"/>
  <c r="D25" i="56"/>
  <c r="D61" i="56" s="1"/>
  <c r="N21" i="56"/>
  <c r="N5" i="22" s="1"/>
  <c r="M21" i="56"/>
  <c r="L21" i="56"/>
  <c r="K21" i="56"/>
  <c r="J21" i="56"/>
  <c r="J5" i="22" s="1"/>
  <c r="I21" i="56"/>
  <c r="H21" i="56"/>
  <c r="H5" i="22" s="1"/>
  <c r="G21" i="56"/>
  <c r="F21" i="56"/>
  <c r="E21" i="56"/>
  <c r="D21" i="56"/>
  <c r="C25" i="56"/>
  <c r="C61" i="56" s="1"/>
  <c r="C26" i="56"/>
  <c r="C62" i="56" s="1"/>
  <c r="C27" i="56"/>
  <c r="C21" i="56"/>
  <c r="C5" i="22" s="1"/>
  <c r="S11" i="56"/>
  <c r="S10" i="56"/>
  <c r="S7" i="56"/>
  <c r="S3" i="56"/>
  <c r="R3" i="56"/>
  <c r="Q3" i="56"/>
  <c r="P3" i="56"/>
  <c r="O3" i="56"/>
  <c r="D57" i="52"/>
  <c r="E91" i="61" s="1"/>
  <c r="E57" i="52"/>
  <c r="F91" i="61" s="1"/>
  <c r="F57" i="52"/>
  <c r="G91" i="61" s="1"/>
  <c r="G57" i="52"/>
  <c r="H91" i="61" s="1"/>
  <c r="H57" i="52"/>
  <c r="I91" i="61" s="1"/>
  <c r="I57" i="52"/>
  <c r="J57" i="52"/>
  <c r="K91" i="61" s="1"/>
  <c r="K57" i="52"/>
  <c r="L91" i="61" s="1"/>
  <c r="L57" i="52"/>
  <c r="M57" i="52"/>
  <c r="N91" i="61" s="1"/>
  <c r="N57" i="52"/>
  <c r="C57" i="52"/>
  <c r="D91" i="61" s="1"/>
  <c r="D62" i="47"/>
  <c r="E50" i="61" s="1"/>
  <c r="E62" i="47"/>
  <c r="F50" i="61" s="1"/>
  <c r="F62" i="47"/>
  <c r="G50" i="61" s="1"/>
  <c r="G62" i="47"/>
  <c r="H50" i="61" s="1"/>
  <c r="H62" i="47"/>
  <c r="I50" i="61" s="1"/>
  <c r="I62" i="47"/>
  <c r="J50" i="61" s="1"/>
  <c r="J62" i="47"/>
  <c r="K50" i="61" s="1"/>
  <c r="K62" i="47"/>
  <c r="L50" i="61" s="1"/>
  <c r="M62" i="47"/>
  <c r="N50" i="61" s="1"/>
  <c r="N62" i="47"/>
  <c r="O50" i="61" s="1"/>
  <c r="C62" i="47"/>
  <c r="D50" i="61" s="1"/>
  <c r="M53" i="56"/>
  <c r="E53" i="56"/>
  <c r="N53" i="56"/>
  <c r="J53" i="56"/>
  <c r="L53" i="56"/>
  <c r="K53" i="56"/>
  <c r="I53" i="56"/>
  <c r="H53" i="56"/>
  <c r="D53" i="56"/>
  <c r="R45" i="56"/>
  <c r="P45" i="56"/>
  <c r="S45" i="56"/>
  <c r="N42" i="56"/>
  <c r="L42" i="56"/>
  <c r="J42" i="56"/>
  <c r="F42" i="56"/>
  <c r="D42" i="56"/>
  <c r="M41" i="56"/>
  <c r="K41" i="56"/>
  <c r="G41" i="56"/>
  <c r="E41" i="56"/>
  <c r="S40" i="56"/>
  <c r="S39" i="56"/>
  <c r="S37" i="56"/>
  <c r="M42" i="56"/>
  <c r="I42" i="56"/>
  <c r="H42" i="56"/>
  <c r="E42" i="56"/>
  <c r="L41" i="56"/>
  <c r="J41" i="56"/>
  <c r="I41" i="56"/>
  <c r="H41" i="56"/>
  <c r="F41" i="56"/>
  <c r="D41" i="56"/>
  <c r="C41" i="56"/>
  <c r="P33" i="56"/>
  <c r="R33" i="56"/>
  <c r="S33" i="56"/>
  <c r="O33" i="56"/>
  <c r="R22" i="56"/>
  <c r="Q22" i="56"/>
  <c r="S22" i="56"/>
  <c r="O22" i="56"/>
  <c r="P22" i="56"/>
  <c r="N41" i="56"/>
  <c r="S38" i="56"/>
  <c r="C53" i="56"/>
  <c r="G53" i="56"/>
  <c r="S35" i="56"/>
  <c r="Q45" i="56"/>
  <c r="O45" i="56"/>
  <c r="F53" i="56"/>
  <c r="Q33" i="56"/>
  <c r="C42" i="56"/>
  <c r="G42" i="56"/>
  <c r="K42" i="56"/>
  <c r="S36" i="56"/>
  <c r="S77" i="52"/>
  <c r="S74" i="52"/>
  <c r="S50" i="52"/>
  <c r="S47" i="52"/>
  <c r="S45" i="52"/>
  <c r="S42" i="52"/>
  <c r="S39" i="52"/>
  <c r="S36" i="52"/>
  <c r="S33" i="52"/>
  <c r="S18" i="52"/>
  <c r="S15" i="52"/>
  <c r="S12" i="52"/>
  <c r="S6" i="52"/>
  <c r="N83" i="47"/>
  <c r="N44" i="52" s="1"/>
  <c r="N46" i="52" s="1"/>
  <c r="M83" i="47"/>
  <c r="M44" i="52" s="1"/>
  <c r="M46" i="52" s="1"/>
  <c r="L83" i="47"/>
  <c r="L44" i="52" s="1"/>
  <c r="K83" i="47"/>
  <c r="K44" i="52" s="1"/>
  <c r="K46" i="52" s="1"/>
  <c r="J83" i="47"/>
  <c r="J44" i="52" s="1"/>
  <c r="J46" i="52" s="1"/>
  <c r="I83" i="47"/>
  <c r="I44" i="52" s="1"/>
  <c r="H83" i="47"/>
  <c r="H44" i="52" s="1"/>
  <c r="H46" i="52" s="1"/>
  <c r="G83" i="47"/>
  <c r="G44" i="52" s="1"/>
  <c r="G46" i="52" s="1"/>
  <c r="F83" i="47"/>
  <c r="F44" i="52" s="1"/>
  <c r="F46" i="52" s="1"/>
  <c r="E83" i="47"/>
  <c r="E44" i="52" s="1"/>
  <c r="E46" i="52" s="1"/>
  <c r="D83" i="47"/>
  <c r="D44" i="52" s="1"/>
  <c r="D46" i="52" s="1"/>
  <c r="C83" i="47"/>
  <c r="C44" i="52" s="1"/>
  <c r="N79" i="47"/>
  <c r="M79" i="47"/>
  <c r="N74" i="61" s="1"/>
  <c r="L79" i="47"/>
  <c r="K79" i="47"/>
  <c r="J79" i="47"/>
  <c r="I79" i="47"/>
  <c r="H79" i="47"/>
  <c r="G79" i="47"/>
  <c r="F79" i="47"/>
  <c r="E79" i="47"/>
  <c r="D79" i="47"/>
  <c r="C79" i="47"/>
  <c r="N75" i="47"/>
  <c r="M75" i="47"/>
  <c r="L75" i="47"/>
  <c r="K75" i="47"/>
  <c r="J75" i="47"/>
  <c r="I75" i="47"/>
  <c r="H75" i="47"/>
  <c r="G75" i="47"/>
  <c r="F75" i="47"/>
  <c r="E75" i="47"/>
  <c r="D75" i="47"/>
  <c r="C75" i="47"/>
  <c r="E40" i="36"/>
  <c r="G40" i="36" s="1"/>
  <c r="I40" i="36"/>
  <c r="K40" i="36" s="1"/>
  <c r="M40" i="36"/>
  <c r="Q40" i="36"/>
  <c r="U40" i="36"/>
  <c r="W40" i="36" s="1"/>
  <c r="Y40" i="36"/>
  <c r="AA40" i="36" s="1"/>
  <c r="AC40" i="36"/>
  <c r="AE40" i="36" s="1"/>
  <c r="AG40" i="36"/>
  <c r="AI40" i="36" s="1"/>
  <c r="AK40" i="36"/>
  <c r="AM40" i="36" s="1"/>
  <c r="AO40" i="36"/>
  <c r="AQ40" i="36" s="1"/>
  <c r="AW40" i="36"/>
  <c r="AY40" i="36" s="1"/>
  <c r="BB40" i="36"/>
  <c r="O25" i="27"/>
  <c r="AY25" i="26"/>
  <c r="BF25" i="26"/>
  <c r="CH25" i="26"/>
  <c r="CA25" i="26"/>
  <c r="BT25" i="26"/>
  <c r="AR25" i="26"/>
  <c r="AK25" i="26"/>
  <c r="AD25" i="26"/>
  <c r="W25" i="26"/>
  <c r="P25" i="26"/>
  <c r="I25" i="26"/>
  <c r="CJ25" i="26"/>
  <c r="CK25" i="26"/>
  <c r="CL25" i="26"/>
  <c r="CM25" i="26"/>
  <c r="S78" i="52"/>
  <c r="S71" i="52"/>
  <c r="S68" i="52"/>
  <c r="S65" i="52"/>
  <c r="S62" i="52"/>
  <c r="S59" i="52"/>
  <c r="B1" i="48"/>
  <c r="AK19" i="26"/>
  <c r="AD19" i="26"/>
  <c r="W19" i="26"/>
  <c r="P19" i="26"/>
  <c r="I19" i="26"/>
  <c r="B2" i="47"/>
  <c r="AW43" i="36"/>
  <c r="AY43" i="36" s="1"/>
  <c r="CH19" i="26"/>
  <c r="CA19" i="26"/>
  <c r="BT19" i="26"/>
  <c r="BM19" i="26"/>
  <c r="CK7" i="26"/>
  <c r="CH8" i="26"/>
  <c r="CA8" i="26"/>
  <c r="BT8" i="26"/>
  <c r="BM8" i="26"/>
  <c r="AR8" i="26"/>
  <c r="AK8" i="26"/>
  <c r="AD8" i="26"/>
  <c r="W8" i="26"/>
  <c r="P8" i="26"/>
  <c r="I8" i="26"/>
  <c r="CJ8" i="26"/>
  <c r="CK8" i="26"/>
  <c r="CL8" i="26"/>
  <c r="CM8" i="26"/>
  <c r="BF8" i="26"/>
  <c r="AY8" i="26"/>
  <c r="O8" i="27"/>
  <c r="BF19" i="26"/>
  <c r="AY27" i="26"/>
  <c r="AW30" i="36"/>
  <c r="AY30" i="36" s="1"/>
  <c r="AO30" i="36"/>
  <c r="AQ30" i="36" s="1"/>
  <c r="AK30" i="36"/>
  <c r="AM30" i="36" s="1"/>
  <c r="AG30" i="36"/>
  <c r="AI30" i="36" s="1"/>
  <c r="AC30" i="36"/>
  <c r="AE30" i="36" s="1"/>
  <c r="AY19" i="26"/>
  <c r="AR20" i="26"/>
  <c r="BB30" i="36"/>
  <c r="BL30" i="36" s="1"/>
  <c r="Y30" i="36"/>
  <c r="AA30" i="36" s="1"/>
  <c r="O19" i="27"/>
  <c r="CM19" i="26"/>
  <c r="CL19" i="26"/>
  <c r="CK19" i="26"/>
  <c r="CJ19" i="26"/>
  <c r="AR19" i="26"/>
  <c r="W20" i="26"/>
  <c r="P27" i="26"/>
  <c r="P20" i="26"/>
  <c r="E42" i="36"/>
  <c r="G42" i="36" s="1"/>
  <c r="E38" i="36"/>
  <c r="G38" i="36" s="1"/>
  <c r="E34" i="36"/>
  <c r="G34" i="36" s="1"/>
  <c r="E29" i="36"/>
  <c r="G29" i="36" s="1"/>
  <c r="E21" i="36"/>
  <c r="G21" i="36" s="1"/>
  <c r="E13" i="36"/>
  <c r="G13" i="36" s="1"/>
  <c r="AO14" i="36"/>
  <c r="AQ14" i="36" s="1"/>
  <c r="CH27" i="26"/>
  <c r="CH26" i="26"/>
  <c r="CH24" i="26"/>
  <c r="CH23" i="26"/>
  <c r="CH22" i="26"/>
  <c r="CH21" i="26"/>
  <c r="CH20" i="26"/>
  <c r="CH18" i="26"/>
  <c r="CH17" i="26"/>
  <c r="CH16" i="26"/>
  <c r="CH15" i="26"/>
  <c r="CH14" i="26"/>
  <c r="CH13" i="26"/>
  <c r="CH12" i="26"/>
  <c r="CH11" i="26"/>
  <c r="CH10" i="26"/>
  <c r="CH7" i="26"/>
  <c r="CH6" i="26"/>
  <c r="CH5" i="26"/>
  <c r="CA27" i="26"/>
  <c r="CA26" i="26"/>
  <c r="CA24" i="26"/>
  <c r="CA23" i="26"/>
  <c r="CA22" i="26"/>
  <c r="CA21" i="26"/>
  <c r="CA20" i="26"/>
  <c r="CA18" i="26"/>
  <c r="CA17" i="26"/>
  <c r="CA16" i="26"/>
  <c r="CA15" i="26"/>
  <c r="CA14" i="26"/>
  <c r="CA13" i="26"/>
  <c r="CA12" i="26"/>
  <c r="CA11" i="26"/>
  <c r="CA10" i="26"/>
  <c r="CA7" i="26"/>
  <c r="CA6" i="26"/>
  <c r="CA5" i="26"/>
  <c r="BT27" i="26"/>
  <c r="BT26" i="26"/>
  <c r="BT24" i="26"/>
  <c r="BT23" i="26"/>
  <c r="BT22" i="26"/>
  <c r="BT21" i="26"/>
  <c r="BT20" i="26"/>
  <c r="BT18" i="26"/>
  <c r="BT17" i="26"/>
  <c r="BT16" i="26"/>
  <c r="BT15" i="26"/>
  <c r="BT14" i="26"/>
  <c r="BT13" i="26"/>
  <c r="BT12" i="26"/>
  <c r="BT11" i="26"/>
  <c r="BT10" i="26"/>
  <c r="BT6" i="26"/>
  <c r="BT5" i="26"/>
  <c r="BM27" i="26"/>
  <c r="BM26" i="26"/>
  <c r="BM24" i="26"/>
  <c r="BM23" i="26"/>
  <c r="BM22" i="26"/>
  <c r="BM21" i="26"/>
  <c r="BM20" i="26"/>
  <c r="BM18" i="26"/>
  <c r="BM17" i="26"/>
  <c r="BM16" i="26"/>
  <c r="BM15" i="26"/>
  <c r="BM14" i="26"/>
  <c r="BM13" i="26"/>
  <c r="BM12" i="26"/>
  <c r="BM11" i="26"/>
  <c r="BM10" i="26"/>
  <c r="BM7" i="26"/>
  <c r="BM6" i="26"/>
  <c r="BM5" i="26"/>
  <c r="BF27" i="26"/>
  <c r="BF26" i="26"/>
  <c r="BF24" i="26"/>
  <c r="BF23" i="26"/>
  <c r="BF22" i="26"/>
  <c r="BF21" i="26"/>
  <c r="BF20" i="26"/>
  <c r="BF18" i="26"/>
  <c r="BF17" i="26"/>
  <c r="BF16" i="26"/>
  <c r="BF15" i="26"/>
  <c r="BF14" i="26"/>
  <c r="BF13" i="26"/>
  <c r="BF12" i="26"/>
  <c r="BF11" i="26"/>
  <c r="BF10" i="26"/>
  <c r="BF6" i="26"/>
  <c r="BF5" i="26"/>
  <c r="AY26" i="26"/>
  <c r="AY24" i="26"/>
  <c r="AY23" i="26"/>
  <c r="AY21" i="26"/>
  <c r="AY20" i="26"/>
  <c r="AY18" i="26"/>
  <c r="AY17" i="26"/>
  <c r="AY16" i="26"/>
  <c r="AY15" i="26"/>
  <c r="AY14" i="26"/>
  <c r="AY13" i="26"/>
  <c r="AY12" i="26"/>
  <c r="AY11" i="26"/>
  <c r="AY10" i="26"/>
  <c r="AY7" i="26"/>
  <c r="AY6" i="26"/>
  <c r="AY5" i="26"/>
  <c r="AR27" i="26"/>
  <c r="AR26" i="26"/>
  <c r="AR24" i="26"/>
  <c r="AR23" i="26"/>
  <c r="AR22" i="26"/>
  <c r="AR21" i="26"/>
  <c r="AR18" i="26"/>
  <c r="AR17" i="26"/>
  <c r="AR16" i="26"/>
  <c r="AR15" i="26"/>
  <c r="AR14" i="26"/>
  <c r="AR13" i="26"/>
  <c r="AR12" i="26"/>
  <c r="AR11" i="26"/>
  <c r="AR10" i="26"/>
  <c r="AR7" i="26"/>
  <c r="AR6" i="26"/>
  <c r="AR5" i="26"/>
  <c r="AK27" i="26"/>
  <c r="AK26" i="26"/>
  <c r="AK24" i="26"/>
  <c r="AK23" i="26"/>
  <c r="AK22" i="26"/>
  <c r="AK21" i="26"/>
  <c r="AK20" i="26"/>
  <c r="AK18" i="26"/>
  <c r="AK17" i="26"/>
  <c r="AK16" i="26"/>
  <c r="AK15" i="26"/>
  <c r="AK14" i="26"/>
  <c r="AK13" i="26"/>
  <c r="AK12" i="26"/>
  <c r="AK11" i="26"/>
  <c r="AK10" i="26"/>
  <c r="AK7" i="26"/>
  <c r="AK6" i="26"/>
  <c r="AK5" i="26"/>
  <c r="AD27" i="26"/>
  <c r="AD26" i="26"/>
  <c r="AD24" i="26"/>
  <c r="AD23" i="26"/>
  <c r="AD22" i="26"/>
  <c r="AD21" i="26"/>
  <c r="AD20" i="26"/>
  <c r="AD18" i="26"/>
  <c r="AD17" i="26"/>
  <c r="AD16" i="26"/>
  <c r="AD15" i="26"/>
  <c r="AD14" i="26"/>
  <c r="AD13" i="26"/>
  <c r="AD12" i="26"/>
  <c r="AD11" i="26"/>
  <c r="AD10" i="26"/>
  <c r="AD7" i="26"/>
  <c r="AD6" i="26"/>
  <c r="AD5" i="26"/>
  <c r="W27" i="26"/>
  <c r="W26" i="26"/>
  <c r="W24" i="26"/>
  <c r="W23" i="26"/>
  <c r="W22" i="26"/>
  <c r="W21" i="26"/>
  <c r="W18" i="26"/>
  <c r="W17" i="26"/>
  <c r="W16" i="26"/>
  <c r="W15" i="26"/>
  <c r="W14" i="26"/>
  <c r="W13" i="26"/>
  <c r="W12" i="26"/>
  <c r="W11" i="26"/>
  <c r="W10" i="26"/>
  <c r="W7" i="26"/>
  <c r="W6" i="26"/>
  <c r="W5" i="26"/>
  <c r="P26" i="26"/>
  <c r="P24" i="26"/>
  <c r="P23" i="26"/>
  <c r="P22" i="26"/>
  <c r="P21" i="26"/>
  <c r="P18" i="26"/>
  <c r="P17" i="26"/>
  <c r="P16" i="26"/>
  <c r="P15" i="26"/>
  <c r="P14" i="26"/>
  <c r="P13" i="26"/>
  <c r="P12" i="26"/>
  <c r="P11" i="26"/>
  <c r="P10" i="26"/>
  <c r="P7" i="26"/>
  <c r="P6" i="26"/>
  <c r="P5" i="26"/>
  <c r="P45" i="42"/>
  <c r="L45" i="42"/>
  <c r="K45" i="42"/>
  <c r="R12" i="42"/>
  <c r="V12" i="42" s="1"/>
  <c r="G45" i="42"/>
  <c r="N42" i="39"/>
  <c r="N41" i="39"/>
  <c r="O45" i="42"/>
  <c r="M45" i="42"/>
  <c r="J45" i="42"/>
  <c r="I45" i="42"/>
  <c r="F45" i="42"/>
  <c r="E45" i="42"/>
  <c r="R42" i="42"/>
  <c r="R41" i="42"/>
  <c r="R40" i="42"/>
  <c r="R39" i="42"/>
  <c r="R38" i="42"/>
  <c r="R37" i="42"/>
  <c r="R36" i="42"/>
  <c r="R35" i="42"/>
  <c r="R34" i="42"/>
  <c r="R33" i="42"/>
  <c r="R32" i="42"/>
  <c r="R31" i="42"/>
  <c r="R30" i="42"/>
  <c r="R29" i="42"/>
  <c r="R28" i="42"/>
  <c r="R27" i="42"/>
  <c r="R26" i="42"/>
  <c r="R25" i="42"/>
  <c r="R24" i="42"/>
  <c r="R23" i="42"/>
  <c r="R22" i="42"/>
  <c r="R21" i="42"/>
  <c r="R20" i="42"/>
  <c r="R19" i="42"/>
  <c r="R18" i="42"/>
  <c r="R17" i="42"/>
  <c r="R16" i="42"/>
  <c r="R15" i="42"/>
  <c r="N45" i="42"/>
  <c r="R14" i="42"/>
  <c r="R13" i="42"/>
  <c r="R11" i="42"/>
  <c r="R10" i="42"/>
  <c r="T10" i="42" s="1"/>
  <c r="R9" i="42"/>
  <c r="T9" i="42" s="1"/>
  <c r="C1" i="42"/>
  <c r="AG29" i="36"/>
  <c r="AI29" i="36" s="1"/>
  <c r="N40" i="39"/>
  <c r="N39" i="39"/>
  <c r="N38" i="39"/>
  <c r="N36" i="39"/>
  <c r="N16" i="39"/>
  <c r="B9" i="39"/>
  <c r="AW51" i="36"/>
  <c r="AY51" i="36" s="1"/>
  <c r="AW50" i="36"/>
  <c r="AY50" i="36" s="1"/>
  <c r="AW49" i="36"/>
  <c r="AY49" i="36" s="1"/>
  <c r="AW48" i="36"/>
  <c r="AY48" i="36" s="1"/>
  <c r="AW47" i="36"/>
  <c r="AY47" i="36" s="1"/>
  <c r="AW46" i="36"/>
  <c r="AY46" i="36" s="1"/>
  <c r="AW45" i="36"/>
  <c r="AY45" i="36" s="1"/>
  <c r="AW44" i="36"/>
  <c r="AY44" i="36" s="1"/>
  <c r="AW42" i="36"/>
  <c r="AY42" i="36" s="1"/>
  <c r="AW41" i="36"/>
  <c r="AY41" i="36" s="1"/>
  <c r="AW39" i="36"/>
  <c r="AY39" i="36" s="1"/>
  <c r="AW38" i="36"/>
  <c r="AY38" i="36" s="1"/>
  <c r="AW37" i="36"/>
  <c r="AY37" i="36" s="1"/>
  <c r="AW36" i="36"/>
  <c r="AY36" i="36" s="1"/>
  <c r="AW35" i="36"/>
  <c r="AW34" i="36"/>
  <c r="AY34" i="36" s="1"/>
  <c r="AW33" i="36"/>
  <c r="AY33" i="36" s="1"/>
  <c r="AW32" i="36"/>
  <c r="AY32" i="36" s="1"/>
  <c r="AW29" i="36"/>
  <c r="AY29" i="36" s="1"/>
  <c r="AW28" i="36"/>
  <c r="AY28" i="36" s="1"/>
  <c r="AW27" i="36"/>
  <c r="AY27" i="36" s="1"/>
  <c r="AW26" i="36"/>
  <c r="AY26" i="36" s="1"/>
  <c r="AW22" i="36"/>
  <c r="AW21" i="36"/>
  <c r="AY21" i="36" s="1"/>
  <c r="AW20" i="36"/>
  <c r="AY20" i="36" s="1"/>
  <c r="AW15" i="36"/>
  <c r="AY15" i="36" s="1"/>
  <c r="AW14" i="36"/>
  <c r="AY14" i="36" s="1"/>
  <c r="AW13" i="36"/>
  <c r="AY13" i="36" s="1"/>
  <c r="AO51" i="36"/>
  <c r="AQ51" i="36" s="1"/>
  <c r="AO50" i="36"/>
  <c r="AQ50" i="36" s="1"/>
  <c r="AO49" i="36"/>
  <c r="AQ49" i="36" s="1"/>
  <c r="AO48" i="36"/>
  <c r="AQ48" i="36" s="1"/>
  <c r="AO47" i="36"/>
  <c r="AQ47" i="36" s="1"/>
  <c r="AO46" i="36"/>
  <c r="AQ46" i="36" s="1"/>
  <c r="AO45" i="36"/>
  <c r="AQ45" i="36" s="1"/>
  <c r="AO44" i="36"/>
  <c r="AQ44" i="36" s="1"/>
  <c r="AO43" i="36"/>
  <c r="AQ43" i="36" s="1"/>
  <c r="AO42" i="36"/>
  <c r="AQ42" i="36" s="1"/>
  <c r="AO41" i="36"/>
  <c r="AQ41" i="36" s="1"/>
  <c r="AO39" i="36"/>
  <c r="AQ39" i="36" s="1"/>
  <c r="AO38" i="36"/>
  <c r="AQ38" i="36" s="1"/>
  <c r="AO37" i="36"/>
  <c r="AQ37" i="36" s="1"/>
  <c r="AO36" i="36"/>
  <c r="AQ36" i="36" s="1"/>
  <c r="AO35" i="36"/>
  <c r="AQ35" i="36" s="1"/>
  <c r="AO34" i="36"/>
  <c r="AQ34" i="36" s="1"/>
  <c r="AO33" i="36"/>
  <c r="AQ33" i="36" s="1"/>
  <c r="AO32" i="36"/>
  <c r="AQ32" i="36" s="1"/>
  <c r="AO29" i="36"/>
  <c r="AQ29" i="36" s="1"/>
  <c r="AO28" i="36"/>
  <c r="AQ28" i="36" s="1"/>
  <c r="AO27" i="36"/>
  <c r="AQ27" i="36" s="1"/>
  <c r="AO26" i="36"/>
  <c r="AQ26" i="36" s="1"/>
  <c r="AO22" i="36"/>
  <c r="AO21" i="36"/>
  <c r="AQ21" i="36" s="1"/>
  <c r="AO20" i="36"/>
  <c r="AQ20" i="36" s="1"/>
  <c r="AO15" i="36"/>
  <c r="AQ15" i="36" s="1"/>
  <c r="AO13" i="36"/>
  <c r="AQ13" i="36" s="1"/>
  <c r="AK51" i="36"/>
  <c r="AK50" i="36"/>
  <c r="AM50" i="36" s="1"/>
  <c r="AK49" i="36"/>
  <c r="AM49" i="36" s="1"/>
  <c r="AK48" i="36"/>
  <c r="AM48" i="36" s="1"/>
  <c r="AK47" i="36"/>
  <c r="AM47" i="36" s="1"/>
  <c r="AK46" i="36"/>
  <c r="AM46" i="36" s="1"/>
  <c r="AK45" i="36"/>
  <c r="AM45" i="36" s="1"/>
  <c r="AK44" i="36"/>
  <c r="AM44" i="36" s="1"/>
  <c r="AK43" i="36"/>
  <c r="AM43" i="36" s="1"/>
  <c r="AK42" i="36"/>
  <c r="AM42" i="36" s="1"/>
  <c r="AK41" i="36"/>
  <c r="AM41" i="36" s="1"/>
  <c r="AK39" i="36"/>
  <c r="AM39" i="36" s="1"/>
  <c r="AK38" i="36"/>
  <c r="AM38" i="36" s="1"/>
  <c r="AK37" i="36"/>
  <c r="AM37" i="36" s="1"/>
  <c r="AK36" i="36"/>
  <c r="AM36" i="36" s="1"/>
  <c r="AK35" i="36"/>
  <c r="AM35" i="36" s="1"/>
  <c r="AK34" i="36"/>
  <c r="AM34" i="36" s="1"/>
  <c r="AK33" i="36"/>
  <c r="AM33" i="36" s="1"/>
  <c r="AK32" i="36"/>
  <c r="AM32" i="36" s="1"/>
  <c r="AK29" i="36"/>
  <c r="AM29" i="36" s="1"/>
  <c r="AK28" i="36"/>
  <c r="AM28" i="36" s="1"/>
  <c r="AK27" i="36"/>
  <c r="AM27" i="36" s="1"/>
  <c r="AK26" i="36"/>
  <c r="AM26" i="36" s="1"/>
  <c r="AK22" i="36"/>
  <c r="AK21" i="36"/>
  <c r="AM21" i="36" s="1"/>
  <c r="AK20" i="36"/>
  <c r="AM20" i="36" s="1"/>
  <c r="AK15" i="36"/>
  <c r="AM15" i="36" s="1"/>
  <c r="AK14" i="36"/>
  <c r="AM14" i="36" s="1"/>
  <c r="AK13" i="36"/>
  <c r="AM13" i="36" s="1"/>
  <c r="AG51" i="36"/>
  <c r="AI51" i="36" s="1"/>
  <c r="AG50" i="36"/>
  <c r="AI50" i="36" s="1"/>
  <c r="AG49" i="36"/>
  <c r="AI49" i="36" s="1"/>
  <c r="AG48" i="36"/>
  <c r="AI48" i="36" s="1"/>
  <c r="AG47" i="36"/>
  <c r="AI47" i="36" s="1"/>
  <c r="AG46" i="36"/>
  <c r="AI46" i="36" s="1"/>
  <c r="AG45" i="36"/>
  <c r="AI45" i="36" s="1"/>
  <c r="AG44" i="36"/>
  <c r="AI44" i="36" s="1"/>
  <c r="AG43" i="36"/>
  <c r="AI43" i="36" s="1"/>
  <c r="AG42" i="36"/>
  <c r="AI42" i="36" s="1"/>
  <c r="AG41" i="36"/>
  <c r="AI41" i="36" s="1"/>
  <c r="AG39" i="36"/>
  <c r="AI39" i="36" s="1"/>
  <c r="AG38" i="36"/>
  <c r="AI38" i="36" s="1"/>
  <c r="AG37" i="36"/>
  <c r="AI37" i="36" s="1"/>
  <c r="AG36" i="36"/>
  <c r="AI36" i="36" s="1"/>
  <c r="AG35" i="36"/>
  <c r="AI35" i="36" s="1"/>
  <c r="AG34" i="36"/>
  <c r="AG33" i="36"/>
  <c r="AI33" i="36" s="1"/>
  <c r="AG32" i="36"/>
  <c r="AI32" i="36" s="1"/>
  <c r="AG28" i="36"/>
  <c r="AI28" i="36" s="1"/>
  <c r="AG27" i="36"/>
  <c r="AI27" i="36" s="1"/>
  <c r="AG26" i="36"/>
  <c r="AI26" i="36" s="1"/>
  <c r="AG22" i="36"/>
  <c r="AG21" i="36"/>
  <c r="AI21" i="36" s="1"/>
  <c r="AG20" i="36"/>
  <c r="AI20" i="36" s="1"/>
  <c r="AG15" i="36"/>
  <c r="AI15" i="36" s="1"/>
  <c r="AG14" i="36"/>
  <c r="AI14" i="36" s="1"/>
  <c r="AG13" i="36"/>
  <c r="AI13" i="36" s="1"/>
  <c r="AC51" i="36"/>
  <c r="AE51" i="36" s="1"/>
  <c r="AC50" i="36"/>
  <c r="AE50" i="36" s="1"/>
  <c r="AC49" i="36"/>
  <c r="AE49" i="36" s="1"/>
  <c r="AC48" i="36"/>
  <c r="AE48" i="36" s="1"/>
  <c r="AC47" i="36"/>
  <c r="AE47" i="36" s="1"/>
  <c r="AC46" i="36"/>
  <c r="AE46" i="36" s="1"/>
  <c r="AC45" i="36"/>
  <c r="AE45" i="36" s="1"/>
  <c r="AC44" i="36"/>
  <c r="AE44" i="36" s="1"/>
  <c r="AC43" i="36"/>
  <c r="AE43" i="36" s="1"/>
  <c r="AC42" i="36"/>
  <c r="AE42" i="36" s="1"/>
  <c r="AC41" i="36"/>
  <c r="AE41" i="36" s="1"/>
  <c r="AC39" i="36"/>
  <c r="AE39" i="36" s="1"/>
  <c r="AC38" i="36"/>
  <c r="AE38" i="36" s="1"/>
  <c r="AC37" i="36"/>
  <c r="AE37" i="36" s="1"/>
  <c r="AC36" i="36"/>
  <c r="AE36" i="36" s="1"/>
  <c r="AC35" i="36"/>
  <c r="AE35" i="36" s="1"/>
  <c r="AC34" i="36"/>
  <c r="AC33" i="36"/>
  <c r="AE33" i="36" s="1"/>
  <c r="AC32" i="36"/>
  <c r="AE32" i="36" s="1"/>
  <c r="AC29" i="36"/>
  <c r="AE29" i="36" s="1"/>
  <c r="AC28" i="36"/>
  <c r="AE28" i="36" s="1"/>
  <c r="AC27" i="36"/>
  <c r="AE27" i="36" s="1"/>
  <c r="AC26" i="36"/>
  <c r="AE26" i="36" s="1"/>
  <c r="AC22" i="36"/>
  <c r="AC21" i="36"/>
  <c r="AE21" i="36" s="1"/>
  <c r="AC20" i="36"/>
  <c r="AE20" i="36" s="1"/>
  <c r="AC15" i="36"/>
  <c r="AE15" i="36" s="1"/>
  <c r="AC14" i="36"/>
  <c r="AE14" i="36" s="1"/>
  <c r="AC13" i="36"/>
  <c r="AE13" i="36" s="1"/>
  <c r="Y51" i="36"/>
  <c r="AA51" i="36" s="1"/>
  <c r="Y50" i="36"/>
  <c r="AA50" i="36" s="1"/>
  <c r="Y49" i="36"/>
  <c r="AA49" i="36" s="1"/>
  <c r="Y48" i="36"/>
  <c r="AA48" i="36" s="1"/>
  <c r="Y47" i="36"/>
  <c r="AA47" i="36" s="1"/>
  <c r="Y46" i="36"/>
  <c r="AA46" i="36" s="1"/>
  <c r="Y45" i="36"/>
  <c r="AA45" i="36" s="1"/>
  <c r="Y44" i="36"/>
  <c r="AA44" i="36" s="1"/>
  <c r="Y43" i="36"/>
  <c r="AA43" i="36" s="1"/>
  <c r="Y42" i="36"/>
  <c r="AA42" i="36" s="1"/>
  <c r="Y41" i="36"/>
  <c r="AA41" i="36" s="1"/>
  <c r="Y39" i="36"/>
  <c r="AA39" i="36" s="1"/>
  <c r="Y38" i="36"/>
  <c r="AA38" i="36" s="1"/>
  <c r="Y37" i="36"/>
  <c r="AA37" i="36" s="1"/>
  <c r="Y36" i="36"/>
  <c r="AA36" i="36" s="1"/>
  <c r="Y35" i="36"/>
  <c r="Y34" i="36"/>
  <c r="AA34" i="36" s="1"/>
  <c r="Y33" i="36"/>
  <c r="AA33" i="36" s="1"/>
  <c r="Y32" i="36"/>
  <c r="AA32" i="36" s="1"/>
  <c r="Y29" i="36"/>
  <c r="AA29" i="36" s="1"/>
  <c r="Y28" i="36"/>
  <c r="AA28" i="36" s="1"/>
  <c r="Y27" i="36"/>
  <c r="AA27" i="36" s="1"/>
  <c r="Y26" i="36"/>
  <c r="AA26" i="36" s="1"/>
  <c r="Y22" i="36"/>
  <c r="Y21" i="36"/>
  <c r="AA21" i="36" s="1"/>
  <c r="Y20" i="36"/>
  <c r="AA20" i="36" s="1"/>
  <c r="Y15" i="36"/>
  <c r="AA15" i="36" s="1"/>
  <c r="Y14" i="36"/>
  <c r="AA14" i="36" s="1"/>
  <c r="Y13" i="36"/>
  <c r="AA13" i="36" s="1"/>
  <c r="U51" i="36"/>
  <c r="W51" i="36" s="1"/>
  <c r="U50" i="36"/>
  <c r="W50" i="36" s="1"/>
  <c r="U49" i="36"/>
  <c r="W49" i="36" s="1"/>
  <c r="U48" i="36"/>
  <c r="W48" i="36" s="1"/>
  <c r="U47" i="36"/>
  <c r="U46" i="36"/>
  <c r="W46" i="36" s="1"/>
  <c r="U45" i="36"/>
  <c r="W45" i="36" s="1"/>
  <c r="U44" i="36"/>
  <c r="W44" i="36" s="1"/>
  <c r="U43" i="36"/>
  <c r="W43" i="36" s="1"/>
  <c r="U42" i="36"/>
  <c r="W42" i="36" s="1"/>
  <c r="U41" i="36"/>
  <c r="W41" i="36" s="1"/>
  <c r="U39" i="36"/>
  <c r="W39" i="36" s="1"/>
  <c r="U38" i="36"/>
  <c r="W38" i="36" s="1"/>
  <c r="U37" i="36"/>
  <c r="W37" i="36" s="1"/>
  <c r="U36" i="36"/>
  <c r="W36" i="36" s="1"/>
  <c r="U35" i="36"/>
  <c r="W35" i="36" s="1"/>
  <c r="U34" i="36"/>
  <c r="U33" i="36"/>
  <c r="W33" i="36" s="1"/>
  <c r="U32" i="36"/>
  <c r="W32" i="36" s="1"/>
  <c r="U29" i="36"/>
  <c r="W29" i="36" s="1"/>
  <c r="U28" i="36"/>
  <c r="W28" i="36" s="1"/>
  <c r="U27" i="36"/>
  <c r="W27" i="36" s="1"/>
  <c r="U26" i="36"/>
  <c r="W26" i="36" s="1"/>
  <c r="U22" i="36"/>
  <c r="U21" i="36"/>
  <c r="W21" i="36" s="1"/>
  <c r="U20" i="36"/>
  <c r="W20" i="36" s="1"/>
  <c r="U15" i="36"/>
  <c r="W15" i="36" s="1"/>
  <c r="U14" i="36"/>
  <c r="W14" i="36" s="1"/>
  <c r="U13" i="36"/>
  <c r="W13" i="36" s="1"/>
  <c r="Q51" i="36"/>
  <c r="Q50" i="36"/>
  <c r="Q49" i="36"/>
  <c r="Q48" i="36"/>
  <c r="Q47" i="36"/>
  <c r="Q46" i="36"/>
  <c r="Q45" i="36"/>
  <c r="Q44" i="36"/>
  <c r="S44" i="36" s="1"/>
  <c r="Q43" i="36"/>
  <c r="Q42" i="36"/>
  <c r="Q41" i="36"/>
  <c r="Q39" i="36"/>
  <c r="Q38" i="36"/>
  <c r="Q37" i="36"/>
  <c r="Q36" i="36"/>
  <c r="E36" i="36"/>
  <c r="G36" i="36" s="1"/>
  <c r="I36" i="36"/>
  <c r="K36" i="36" s="1"/>
  <c r="M36" i="36"/>
  <c r="Q35" i="36"/>
  <c r="Q34" i="36"/>
  <c r="I34" i="36"/>
  <c r="K34" i="36" s="1"/>
  <c r="M34" i="36"/>
  <c r="Q33" i="36"/>
  <c r="S33" i="36" s="1"/>
  <c r="Q32" i="36"/>
  <c r="Q29" i="36"/>
  <c r="Q28" i="36"/>
  <c r="Q27" i="36"/>
  <c r="Q26" i="36"/>
  <c r="Q22" i="36"/>
  <c r="Q21" i="36"/>
  <c r="Q20" i="36"/>
  <c r="Q15" i="36"/>
  <c r="Q14" i="36"/>
  <c r="I14" i="36"/>
  <c r="K14" i="36" s="1"/>
  <c r="M14" i="36"/>
  <c r="Q13" i="36"/>
  <c r="M51" i="36"/>
  <c r="M50" i="36"/>
  <c r="M49" i="36"/>
  <c r="M48" i="36"/>
  <c r="M47" i="36"/>
  <c r="O47" i="36" s="1"/>
  <c r="M46" i="36"/>
  <c r="M45" i="36"/>
  <c r="M44" i="36"/>
  <c r="E44" i="36"/>
  <c r="G44" i="36" s="1"/>
  <c r="I44" i="36"/>
  <c r="K44" i="36" s="1"/>
  <c r="M43" i="36"/>
  <c r="M42" i="36"/>
  <c r="M41" i="36"/>
  <c r="M39" i="36"/>
  <c r="M38" i="36"/>
  <c r="M37" i="36"/>
  <c r="M35" i="36"/>
  <c r="M33" i="36"/>
  <c r="M32" i="36"/>
  <c r="M29" i="36"/>
  <c r="M28" i="36"/>
  <c r="M27" i="36"/>
  <c r="M26" i="36"/>
  <c r="M22" i="36"/>
  <c r="M21" i="36"/>
  <c r="M20" i="36"/>
  <c r="M15" i="36"/>
  <c r="M13" i="36"/>
  <c r="I15" i="36"/>
  <c r="I20" i="36"/>
  <c r="K20" i="36" s="1"/>
  <c r="I21" i="36"/>
  <c r="K21" i="36" s="1"/>
  <c r="I22" i="36"/>
  <c r="I26" i="36"/>
  <c r="K26" i="36" s="1"/>
  <c r="I27" i="36"/>
  <c r="I28" i="36"/>
  <c r="K28" i="36" s="1"/>
  <c r="I29" i="36"/>
  <c r="K29" i="36" s="1"/>
  <c r="I32" i="36"/>
  <c r="K32" i="36" s="1"/>
  <c r="I33" i="36"/>
  <c r="I35" i="36"/>
  <c r="K35" i="36" s="1"/>
  <c r="I37" i="36"/>
  <c r="I38" i="36"/>
  <c r="K38" i="36" s="1"/>
  <c r="I39" i="36"/>
  <c r="K39" i="36" s="1"/>
  <c r="I42" i="36"/>
  <c r="K43" i="36"/>
  <c r="I45" i="36"/>
  <c r="K45" i="36" s="1"/>
  <c r="I46" i="36"/>
  <c r="K46" i="36" s="1"/>
  <c r="I47" i="36"/>
  <c r="K47" i="36" s="1"/>
  <c r="I48" i="36"/>
  <c r="K48" i="36" s="1"/>
  <c r="I49" i="36"/>
  <c r="K49" i="36" s="1"/>
  <c r="I50" i="36"/>
  <c r="K50" i="36" s="1"/>
  <c r="I51" i="36"/>
  <c r="K51" i="36" s="1"/>
  <c r="I13" i="36"/>
  <c r="K13" i="36" s="1"/>
  <c r="E51" i="36"/>
  <c r="G51" i="36" s="1"/>
  <c r="E50" i="36"/>
  <c r="G50" i="36" s="1"/>
  <c r="E49" i="36"/>
  <c r="G49" i="36" s="1"/>
  <c r="E48" i="36"/>
  <c r="G48" i="36" s="1"/>
  <c r="E47" i="36"/>
  <c r="G47" i="36" s="1"/>
  <c r="E46" i="36"/>
  <c r="G46" i="36" s="1"/>
  <c r="E45" i="36"/>
  <c r="E41" i="36"/>
  <c r="G41" i="36" s="1"/>
  <c r="E39" i="36"/>
  <c r="G39" i="36" s="1"/>
  <c r="E37" i="36"/>
  <c r="G37" i="36" s="1"/>
  <c r="E35" i="36"/>
  <c r="G35" i="36" s="1"/>
  <c r="E33" i="36"/>
  <c r="G33" i="36" s="1"/>
  <c r="E32" i="36"/>
  <c r="G32" i="36" s="1"/>
  <c r="E28" i="36"/>
  <c r="G28" i="36" s="1"/>
  <c r="E27" i="36"/>
  <c r="G27" i="36" s="1"/>
  <c r="E26" i="36"/>
  <c r="G26" i="36" s="1"/>
  <c r="E22" i="36"/>
  <c r="F22" i="36"/>
  <c r="E20" i="36"/>
  <c r="G20" i="36" s="1"/>
  <c r="E15" i="36"/>
  <c r="G15" i="36" s="1"/>
  <c r="R22" i="36"/>
  <c r="J22" i="36"/>
  <c r="N22" i="36"/>
  <c r="V22" i="36"/>
  <c r="Z22" i="36"/>
  <c r="AD22" i="36"/>
  <c r="AH22" i="36"/>
  <c r="AL22" i="36"/>
  <c r="AP22" i="36"/>
  <c r="AX22" i="36"/>
  <c r="BB32" i="36"/>
  <c r="BL32" i="36" s="1"/>
  <c r="CM15" i="26"/>
  <c r="CM14" i="26"/>
  <c r="CM13" i="26"/>
  <c r="U28" i="26"/>
  <c r="D15" i="32" s="1"/>
  <c r="CL15" i="26"/>
  <c r="CL14" i="26"/>
  <c r="CL13" i="26"/>
  <c r="CK15" i="26"/>
  <c r="CK14" i="26"/>
  <c r="CK13" i="26"/>
  <c r="AQ24" i="36"/>
  <c r="AE23" i="36"/>
  <c r="AW28" i="26"/>
  <c r="H15" i="32" s="1"/>
  <c r="AV28" i="26"/>
  <c r="H18" i="32" s="1"/>
  <c r="BD28" i="26"/>
  <c r="I15" i="32" s="1"/>
  <c r="BB28" i="26"/>
  <c r="I17" i="32" s="1"/>
  <c r="BC28" i="26"/>
  <c r="I18" i="32" s="1"/>
  <c r="C5" i="36"/>
  <c r="O10" i="27"/>
  <c r="O12" i="27"/>
  <c r="O13" i="27"/>
  <c r="O14" i="27"/>
  <c r="O16" i="27"/>
  <c r="O17" i="27"/>
  <c r="O20" i="27"/>
  <c r="O21" i="27"/>
  <c r="O24" i="27"/>
  <c r="BB51" i="36"/>
  <c r="BE51" i="36" s="1"/>
  <c r="BB50" i="36"/>
  <c r="BE50" i="36" s="1"/>
  <c r="BB49" i="36"/>
  <c r="BE49" i="36" s="1"/>
  <c r="BB48" i="36"/>
  <c r="BE48" i="36" s="1"/>
  <c r="BB47" i="36"/>
  <c r="BE47" i="36" s="1"/>
  <c r="BB46" i="36"/>
  <c r="BE46" i="36" s="1"/>
  <c r="BB45" i="36"/>
  <c r="BE45" i="36" s="1"/>
  <c r="BB44" i="36"/>
  <c r="BE44" i="36" s="1"/>
  <c r="BB43" i="36"/>
  <c r="BB42" i="36"/>
  <c r="BB41" i="36"/>
  <c r="BL41" i="36" s="1"/>
  <c r="BB39" i="36"/>
  <c r="BB38" i="36"/>
  <c r="BB37" i="36"/>
  <c r="BB36" i="36"/>
  <c r="BB35" i="36"/>
  <c r="BB34" i="36"/>
  <c r="BB33" i="36"/>
  <c r="BL33" i="36" s="1"/>
  <c r="BB31" i="36"/>
  <c r="BL31" i="36" s="1"/>
  <c r="BB29" i="36"/>
  <c r="BL29" i="36" s="1"/>
  <c r="BB28" i="36"/>
  <c r="BB27" i="36"/>
  <c r="BL27" i="36" s="1"/>
  <c r="BB26" i="36"/>
  <c r="BL26" i="36" s="1"/>
  <c r="BB21" i="36"/>
  <c r="BB20" i="36"/>
  <c r="BB15" i="36"/>
  <c r="BB14" i="36"/>
  <c r="BB13" i="36"/>
  <c r="CL27" i="26"/>
  <c r="CL26" i="26"/>
  <c r="CL24" i="26"/>
  <c r="CL23" i="26"/>
  <c r="CL22" i="26"/>
  <c r="CL21" i="26"/>
  <c r="CL20" i="26"/>
  <c r="CL18" i="26"/>
  <c r="CL17" i="26"/>
  <c r="CL16" i="26"/>
  <c r="CL12" i="26"/>
  <c r="CL11" i="26"/>
  <c r="CL10" i="26"/>
  <c r="CL7" i="26"/>
  <c r="CL6" i="26"/>
  <c r="CL5" i="26"/>
  <c r="CK27" i="26"/>
  <c r="CK26" i="26"/>
  <c r="CK24" i="26"/>
  <c r="CK23" i="26"/>
  <c r="CK22" i="26"/>
  <c r="CK21" i="26"/>
  <c r="CK20" i="26"/>
  <c r="CK18" i="26"/>
  <c r="CK17" i="26"/>
  <c r="CK16" i="26"/>
  <c r="CK12" i="26"/>
  <c r="CK11" i="26"/>
  <c r="CK10" i="26"/>
  <c r="CK6" i="26"/>
  <c r="CK5" i="26"/>
  <c r="CE28" i="26"/>
  <c r="M18" i="32" s="1"/>
  <c r="CD28" i="26"/>
  <c r="M17" i="32" s="1"/>
  <c r="BX28" i="26"/>
  <c r="L18" i="32" s="1"/>
  <c r="BW28" i="26"/>
  <c r="L17" i="32" s="1"/>
  <c r="BQ28" i="26"/>
  <c r="K18" i="32" s="1"/>
  <c r="BP28" i="26"/>
  <c r="K17" i="32" s="1"/>
  <c r="BJ28" i="26"/>
  <c r="J18" i="32" s="1"/>
  <c r="BI28" i="26"/>
  <c r="J17" i="32" s="1"/>
  <c r="AO28" i="26"/>
  <c r="G18" i="32" s="1"/>
  <c r="AN28" i="26"/>
  <c r="G17" i="32" s="1"/>
  <c r="AH28" i="26"/>
  <c r="F18" i="32" s="1"/>
  <c r="AG28" i="26"/>
  <c r="F17" i="32" s="1"/>
  <c r="AA28" i="26"/>
  <c r="E18" i="32" s="1"/>
  <c r="Z28" i="26"/>
  <c r="E17" i="32" s="1"/>
  <c r="T28" i="26"/>
  <c r="D18" i="32" s="1"/>
  <c r="S28" i="26"/>
  <c r="D17" i="32" s="1"/>
  <c r="M28" i="26"/>
  <c r="C18" i="32" s="1"/>
  <c r="L28" i="26"/>
  <c r="E28" i="26"/>
  <c r="B17" i="32" s="1"/>
  <c r="F28" i="26"/>
  <c r="I6" i="26"/>
  <c r="I7" i="26"/>
  <c r="I10" i="26"/>
  <c r="I11" i="26"/>
  <c r="I12" i="26"/>
  <c r="I13" i="26"/>
  <c r="I14" i="26"/>
  <c r="I15" i="26"/>
  <c r="I16" i="26"/>
  <c r="I17" i="26"/>
  <c r="I18" i="26"/>
  <c r="I20" i="26"/>
  <c r="I21" i="26"/>
  <c r="I22" i="26"/>
  <c r="I23" i="26"/>
  <c r="I24" i="26"/>
  <c r="I26" i="26"/>
  <c r="I27" i="26"/>
  <c r="I5" i="26"/>
  <c r="CJ15" i="26"/>
  <c r="CJ14" i="26"/>
  <c r="CJ13" i="26"/>
  <c r="N24" i="32"/>
  <c r="N49" i="32"/>
  <c r="N28" i="32"/>
  <c r="N27" i="32"/>
  <c r="N23" i="32"/>
  <c r="N29" i="32"/>
  <c r="CJ5" i="26"/>
  <c r="CM5" i="26"/>
  <c r="CJ6" i="26"/>
  <c r="CM6" i="26"/>
  <c r="CJ10" i="26"/>
  <c r="CM10" i="26"/>
  <c r="CJ11" i="26"/>
  <c r="CM11" i="26"/>
  <c r="CM12" i="26"/>
  <c r="CJ16" i="26"/>
  <c r="CM16" i="26"/>
  <c r="CJ17" i="26"/>
  <c r="CM17" i="26"/>
  <c r="CJ18" i="26"/>
  <c r="CM18" i="26"/>
  <c r="CM20" i="26"/>
  <c r="CJ21" i="26"/>
  <c r="CM21" i="26"/>
  <c r="CJ22" i="26"/>
  <c r="CM22" i="26"/>
  <c r="CJ23" i="26"/>
  <c r="CM23" i="26"/>
  <c r="CJ24" i="26"/>
  <c r="CM24" i="26"/>
  <c r="CJ26" i="26"/>
  <c r="CM26" i="26"/>
  <c r="CJ27" i="26"/>
  <c r="CM27" i="26"/>
  <c r="D28" i="26"/>
  <c r="G28" i="26"/>
  <c r="B15" i="32" s="1"/>
  <c r="N28" i="26"/>
  <c r="C15" i="32" s="1"/>
  <c r="Y28" i="26"/>
  <c r="AB28" i="26"/>
  <c r="E15" i="32" s="1"/>
  <c r="AF28" i="26"/>
  <c r="AI28" i="26"/>
  <c r="F15" i="32" s="1"/>
  <c r="AP28" i="26"/>
  <c r="G15" i="32" s="1"/>
  <c r="AT28" i="26"/>
  <c r="BH28" i="26"/>
  <c r="BK28" i="26"/>
  <c r="J15" i="32" s="1"/>
  <c r="BV28" i="26"/>
  <c r="BY28" i="26"/>
  <c r="L15" i="32" s="1"/>
  <c r="CC28" i="26"/>
  <c r="CF28" i="26"/>
  <c r="M15" i="32" s="1"/>
  <c r="H8" i="21"/>
  <c r="H15" i="21"/>
  <c r="H9" i="21"/>
  <c r="H18" i="21"/>
  <c r="H21" i="21"/>
  <c r="H24" i="21"/>
  <c r="H26" i="21"/>
  <c r="H29" i="21"/>
  <c r="H41" i="21"/>
  <c r="H44" i="21"/>
  <c r="H49" i="21"/>
  <c r="H52" i="21"/>
  <c r="H54" i="21"/>
  <c r="H10" i="21"/>
  <c r="H11" i="21"/>
  <c r="H12" i="21"/>
  <c r="H13" i="21"/>
  <c r="H14" i="21"/>
  <c r="H19" i="21"/>
  <c r="H20" i="21"/>
  <c r="H25" i="21"/>
  <c r="H30" i="21"/>
  <c r="H31" i="21"/>
  <c r="H32" i="21"/>
  <c r="H33" i="21"/>
  <c r="H37" i="21"/>
  <c r="H38" i="21"/>
  <c r="H40" i="21"/>
  <c r="H45" i="21"/>
  <c r="H46" i="21"/>
  <c r="H47" i="21"/>
  <c r="H48" i="21"/>
  <c r="H53" i="21"/>
  <c r="J44" i="21"/>
  <c r="J49" i="21"/>
  <c r="J45" i="21"/>
  <c r="J46" i="21"/>
  <c r="J47" i="21"/>
  <c r="J48" i="21"/>
  <c r="D2" i="21"/>
  <c r="J8" i="21"/>
  <c r="J15" i="21"/>
  <c r="J9" i="21"/>
  <c r="J18" i="21"/>
  <c r="J21" i="21"/>
  <c r="J24" i="21"/>
  <c r="J26" i="21"/>
  <c r="J29" i="21"/>
  <c r="J41" i="21"/>
  <c r="J52" i="21"/>
  <c r="J54" i="21"/>
  <c r="J57" i="21"/>
  <c r="J58" i="21"/>
  <c r="J10" i="21"/>
  <c r="J11" i="21"/>
  <c r="J12" i="21"/>
  <c r="J13" i="21"/>
  <c r="J14" i="21"/>
  <c r="J19" i="21"/>
  <c r="J20" i="21"/>
  <c r="J25" i="21"/>
  <c r="J30" i="21"/>
  <c r="J31" i="21"/>
  <c r="J32" i="21"/>
  <c r="J33" i="21"/>
  <c r="J34" i="21"/>
  <c r="J35" i="21"/>
  <c r="J36" i="21"/>
  <c r="J37" i="21"/>
  <c r="J38" i="21"/>
  <c r="J39" i="21"/>
  <c r="J40" i="21"/>
  <c r="F45" i="21"/>
  <c r="F46" i="21"/>
  <c r="F48" i="21"/>
  <c r="J53" i="21"/>
  <c r="G8" i="21"/>
  <c r="G15" i="21"/>
  <c r="G9" i="21"/>
  <c r="G10" i="21"/>
  <c r="G11" i="21"/>
  <c r="G12" i="21"/>
  <c r="G13" i="21"/>
  <c r="G14" i="21"/>
  <c r="G18" i="21"/>
  <c r="G21" i="21"/>
  <c r="G24" i="21"/>
  <c r="G26" i="21"/>
  <c r="G29" i="21"/>
  <c r="G41" i="21"/>
  <c r="G44" i="21"/>
  <c r="G49" i="21"/>
  <c r="G52" i="21"/>
  <c r="G54" i="21"/>
  <c r="G57" i="21"/>
  <c r="G58" i="21"/>
  <c r="G19" i="21"/>
  <c r="G20" i="21"/>
  <c r="G25" i="21"/>
  <c r="G30" i="21"/>
  <c r="G31" i="21"/>
  <c r="G32" i="21"/>
  <c r="G33" i="21"/>
  <c r="G34" i="21"/>
  <c r="G35" i="21"/>
  <c r="G36" i="21"/>
  <c r="G37" i="21"/>
  <c r="G38" i="21"/>
  <c r="G39" i="21"/>
  <c r="G40" i="21"/>
  <c r="G45" i="21"/>
  <c r="G46" i="21"/>
  <c r="G47" i="21"/>
  <c r="G48" i="21"/>
  <c r="G53" i="21"/>
  <c r="F9" i="21"/>
  <c r="F10" i="21"/>
  <c r="F11" i="21"/>
  <c r="F13" i="21"/>
  <c r="F14" i="21"/>
  <c r="F20" i="21"/>
  <c r="F25" i="21"/>
  <c r="F30" i="21"/>
  <c r="F31" i="21"/>
  <c r="F33" i="21"/>
  <c r="F35" i="21"/>
  <c r="F36" i="21"/>
  <c r="F37" i="21"/>
  <c r="F38" i="21"/>
  <c r="F39" i="21"/>
  <c r="F40" i="21"/>
  <c r="F52" i="21"/>
  <c r="F54" i="21"/>
  <c r="F53" i="21"/>
  <c r="F57" i="21"/>
  <c r="F58" i="21"/>
  <c r="E57" i="21"/>
  <c r="D57" i="21"/>
  <c r="C57" i="21"/>
  <c r="B57" i="21"/>
  <c r="A57" i="21"/>
  <c r="E53" i="21"/>
  <c r="D53" i="21"/>
  <c r="C53" i="21"/>
  <c r="B53" i="21"/>
  <c r="A53" i="21"/>
  <c r="E52" i="21"/>
  <c r="D52" i="21"/>
  <c r="C52" i="21"/>
  <c r="B52" i="21"/>
  <c r="A52" i="21"/>
  <c r="E48" i="21"/>
  <c r="D48" i="21"/>
  <c r="C48" i="21"/>
  <c r="B48" i="21"/>
  <c r="A48" i="21"/>
  <c r="E47" i="21"/>
  <c r="D47" i="21"/>
  <c r="C47" i="21"/>
  <c r="B47" i="21"/>
  <c r="A47" i="21"/>
  <c r="E46" i="21"/>
  <c r="D46" i="21"/>
  <c r="C46" i="21"/>
  <c r="B46" i="21"/>
  <c r="A46" i="21"/>
  <c r="E45" i="21"/>
  <c r="D45" i="21"/>
  <c r="C45" i="21"/>
  <c r="B45" i="21"/>
  <c r="A45" i="21"/>
  <c r="E44" i="21"/>
  <c r="D44" i="21"/>
  <c r="C44" i="21"/>
  <c r="B44" i="21"/>
  <c r="A44" i="21"/>
  <c r="E40" i="21"/>
  <c r="D40" i="21"/>
  <c r="C40" i="21"/>
  <c r="B40" i="21"/>
  <c r="A40" i="21"/>
  <c r="E39" i="21"/>
  <c r="D39" i="21"/>
  <c r="C39" i="21"/>
  <c r="B39" i="21"/>
  <c r="A39" i="21"/>
  <c r="E38" i="21"/>
  <c r="D38" i="21"/>
  <c r="C38" i="21"/>
  <c r="B38" i="21"/>
  <c r="A38" i="21"/>
  <c r="E37" i="21"/>
  <c r="D37" i="21"/>
  <c r="C37" i="21"/>
  <c r="B37" i="21"/>
  <c r="A37" i="21"/>
  <c r="E36" i="21"/>
  <c r="D36" i="21"/>
  <c r="C36" i="21"/>
  <c r="B36" i="21"/>
  <c r="A36" i="21"/>
  <c r="E35" i="21"/>
  <c r="D35" i="21"/>
  <c r="C35" i="21"/>
  <c r="B35" i="21"/>
  <c r="A35" i="21"/>
  <c r="E34" i="21"/>
  <c r="D34" i="21"/>
  <c r="C34" i="21"/>
  <c r="B34" i="21"/>
  <c r="A34" i="21"/>
  <c r="E33" i="21"/>
  <c r="D33" i="21"/>
  <c r="C33" i="21"/>
  <c r="B33" i="21"/>
  <c r="A33" i="21"/>
  <c r="E32" i="21"/>
  <c r="D32" i="21"/>
  <c r="C32" i="21"/>
  <c r="B32" i="21"/>
  <c r="A32" i="21"/>
  <c r="E31" i="21"/>
  <c r="D31" i="21"/>
  <c r="C31" i="21"/>
  <c r="B31" i="21"/>
  <c r="A31" i="21"/>
  <c r="E30" i="21"/>
  <c r="D30" i="21"/>
  <c r="C30" i="21"/>
  <c r="B30" i="21"/>
  <c r="A30" i="21"/>
  <c r="E29" i="21"/>
  <c r="D29" i="21"/>
  <c r="C29" i="21"/>
  <c r="B29" i="21"/>
  <c r="A29" i="21"/>
  <c r="E25" i="21"/>
  <c r="D25" i="21"/>
  <c r="C25" i="21"/>
  <c r="B25" i="21"/>
  <c r="A25" i="21"/>
  <c r="E24" i="21"/>
  <c r="D24" i="21"/>
  <c r="C24" i="21"/>
  <c r="B24" i="21"/>
  <c r="A24" i="21"/>
  <c r="E20" i="21"/>
  <c r="D20" i="21"/>
  <c r="C20" i="21"/>
  <c r="B20" i="21"/>
  <c r="A20" i="21"/>
  <c r="E19" i="21"/>
  <c r="D19" i="21"/>
  <c r="C19" i="21"/>
  <c r="B19" i="21"/>
  <c r="A19" i="21"/>
  <c r="E18" i="21"/>
  <c r="D18" i="21"/>
  <c r="C18" i="21"/>
  <c r="B18" i="21"/>
  <c r="A18" i="21"/>
  <c r="E14" i="21"/>
  <c r="D14" i="21"/>
  <c r="C14" i="21"/>
  <c r="B14" i="21"/>
  <c r="E13" i="21"/>
  <c r="D13" i="21"/>
  <c r="C13" i="21"/>
  <c r="B13" i="21"/>
  <c r="E12" i="21"/>
  <c r="D12" i="21"/>
  <c r="C12" i="21"/>
  <c r="B12" i="21"/>
  <c r="E11" i="21"/>
  <c r="D11" i="21"/>
  <c r="C11" i="21"/>
  <c r="B11" i="21"/>
  <c r="E10" i="21"/>
  <c r="D10" i="21"/>
  <c r="C10" i="21"/>
  <c r="B10" i="21"/>
  <c r="E9" i="21"/>
  <c r="D9" i="21"/>
  <c r="C9" i="21"/>
  <c r="B9" i="21"/>
  <c r="E8" i="21"/>
  <c r="D8" i="21"/>
  <c r="C8" i="21"/>
  <c r="B8" i="21"/>
  <c r="A14" i="21"/>
  <c r="A13" i="21"/>
  <c r="A12" i="21"/>
  <c r="A11" i="21"/>
  <c r="A10" i="21"/>
  <c r="A9" i="21"/>
  <c r="A8" i="21"/>
  <c r="I14" i="21"/>
  <c r="I32" i="21"/>
  <c r="I33" i="21"/>
  <c r="I48" i="21"/>
  <c r="I38" i="21"/>
  <c r="I40" i="21"/>
  <c r="I53" i="21"/>
  <c r="I46" i="21"/>
  <c r="I47" i="21"/>
  <c r="I13" i="21"/>
  <c r="I30" i="21"/>
  <c r="I29" i="21"/>
  <c r="I41" i="21"/>
  <c r="I24" i="21"/>
  <c r="I26" i="21"/>
  <c r="I52" i="21"/>
  <c r="I54" i="21"/>
  <c r="F12" i="21"/>
  <c r="F34" i="21"/>
  <c r="F19" i="21"/>
  <c r="F18" i="21"/>
  <c r="F21" i="21"/>
  <c r="F29" i="21"/>
  <c r="F41" i="21"/>
  <c r="F8" i="21"/>
  <c r="F15" i="21"/>
  <c r="F24" i="21"/>
  <c r="F26" i="21"/>
  <c r="F44" i="21"/>
  <c r="F49" i="21"/>
  <c r="F32" i="21"/>
  <c r="F47" i="21"/>
  <c r="I9" i="21"/>
  <c r="I12" i="21"/>
  <c r="I20" i="21"/>
  <c r="I31" i="21"/>
  <c r="I37" i="21"/>
  <c r="I25" i="21"/>
  <c r="I44" i="21"/>
  <c r="I49" i="21"/>
  <c r="I10" i="21"/>
  <c r="I8" i="21"/>
  <c r="I15" i="21"/>
  <c r="I18" i="21"/>
  <c r="I21" i="21"/>
  <c r="I11" i="21"/>
  <c r="I19" i="21"/>
  <c r="I45" i="21"/>
  <c r="BO28" i="26"/>
  <c r="CJ12" i="26"/>
  <c r="H45" i="42"/>
  <c r="O23" i="27"/>
  <c r="O22" i="27"/>
  <c r="E43" i="36"/>
  <c r="G43" i="36" s="1"/>
  <c r="E14" i="36"/>
  <c r="G14" i="36" s="1"/>
  <c r="O6" i="27"/>
  <c r="O18" i="27"/>
  <c r="O15" i="27"/>
  <c r="O11" i="27"/>
  <c r="O5" i="27"/>
  <c r="CJ7" i="26"/>
  <c r="I41" i="36"/>
  <c r="O26" i="27"/>
  <c r="CM7" i="26"/>
  <c r="BR28" i="26"/>
  <c r="K15" i="32" s="1"/>
  <c r="O7" i="27"/>
  <c r="F63" i="21"/>
  <c r="G63" i="21"/>
  <c r="I63" i="21"/>
  <c r="N43" i="39"/>
  <c r="J63" i="21"/>
  <c r="C18" i="18"/>
  <c r="H63" i="21"/>
  <c r="O27" i="27"/>
  <c r="BT7" i="26"/>
  <c r="BB19" i="36"/>
  <c r="BL19" i="36" s="1"/>
  <c r="W47" i="36"/>
  <c r="AM51" i="36"/>
  <c r="BF7" i="26"/>
  <c r="AM28" i="26"/>
  <c r="K28" i="26"/>
  <c r="CJ20" i="26"/>
  <c r="AU28" i="26"/>
  <c r="H17" i="32" s="1"/>
  <c r="BA28" i="26"/>
  <c r="R28" i="26"/>
  <c r="C13" i="18"/>
  <c r="C12" i="18"/>
  <c r="C14" i="18"/>
  <c r="C8" i="18"/>
  <c r="C6" i="18"/>
  <c r="C7" i="18"/>
  <c r="C5" i="18"/>
  <c r="C4" i="18"/>
  <c r="C11" i="18"/>
  <c r="C17" i="18"/>
  <c r="C22" i="18"/>
  <c r="C26" i="18"/>
  <c r="C21" i="18"/>
  <c r="C19" i="18"/>
  <c r="C20" i="18"/>
  <c r="C25" i="18"/>
  <c r="C23" i="18"/>
  <c r="C24" i="18"/>
  <c r="K40" i="47" l="1"/>
  <c r="K134" i="47" s="1"/>
  <c r="G40" i="47"/>
  <c r="G134" i="47" s="1"/>
  <c r="I40" i="47"/>
  <c r="I134" i="47" s="1"/>
  <c r="E40" i="47"/>
  <c r="E134" i="47" s="1"/>
  <c r="E135" i="47" s="1"/>
  <c r="D43" i="32" s="1"/>
  <c r="M40" i="47"/>
  <c r="M134" i="47" s="1"/>
  <c r="J40" i="47"/>
  <c r="J134" i="47" s="1"/>
  <c r="J135" i="47" s="1"/>
  <c r="C40" i="47"/>
  <c r="C134" i="47" s="1"/>
  <c r="Q42" i="56"/>
  <c r="W17" i="36"/>
  <c r="G25" i="36"/>
  <c r="AA24" i="36"/>
  <c r="AA17" i="36"/>
  <c r="T18" i="42"/>
  <c r="V18" i="42" s="1"/>
  <c r="T26" i="42"/>
  <c r="V26" i="42" s="1"/>
  <c r="T38" i="42"/>
  <c r="V38" i="42" s="1"/>
  <c r="T19" i="42"/>
  <c r="V19" i="42" s="1"/>
  <c r="T35" i="42"/>
  <c r="V35" i="42" s="1"/>
  <c r="T13" i="42"/>
  <c r="V13" i="42" s="1"/>
  <c r="T16" i="42"/>
  <c r="V16" i="42" s="1"/>
  <c r="T20" i="42"/>
  <c r="V20" i="42" s="1"/>
  <c r="T24" i="42"/>
  <c r="V24" i="42" s="1"/>
  <c r="T28" i="42"/>
  <c r="V28" i="42" s="1"/>
  <c r="T32" i="42"/>
  <c r="V32" i="42" s="1"/>
  <c r="T36" i="42"/>
  <c r="V36" i="42" s="1"/>
  <c r="T40" i="42"/>
  <c r="V40" i="42" s="1"/>
  <c r="T22" i="42"/>
  <c r="V22" i="42"/>
  <c r="T30" i="42"/>
  <c r="V30" i="42"/>
  <c r="T34" i="42"/>
  <c r="V34" i="42"/>
  <c r="T42" i="42"/>
  <c r="V42" i="42"/>
  <c r="T11" i="42"/>
  <c r="V11" i="42"/>
  <c r="T15" i="42"/>
  <c r="V15" i="42"/>
  <c r="T23" i="42"/>
  <c r="V23" i="42"/>
  <c r="T27" i="42"/>
  <c r="V27" i="42"/>
  <c r="T31" i="42"/>
  <c r="V31" i="42"/>
  <c r="T39" i="42"/>
  <c r="V39" i="42"/>
  <c r="T14" i="42"/>
  <c r="V14" i="42"/>
  <c r="T17" i="42"/>
  <c r="V17" i="42"/>
  <c r="T21" i="42"/>
  <c r="V21" i="42"/>
  <c r="T25" i="42"/>
  <c r="V25" i="42"/>
  <c r="T29" i="42"/>
  <c r="V29" i="42"/>
  <c r="T33" i="42"/>
  <c r="V33" i="42"/>
  <c r="T37" i="42"/>
  <c r="V37" i="42"/>
  <c r="T41" i="42"/>
  <c r="V41" i="42"/>
  <c r="R45" i="42"/>
  <c r="T45" i="42"/>
  <c r="S13" i="36"/>
  <c r="S15" i="36"/>
  <c r="S27" i="36"/>
  <c r="S39" i="36"/>
  <c r="S47" i="36"/>
  <c r="BC47" i="36" s="1"/>
  <c r="BK47" i="36" s="1"/>
  <c r="S30" i="36"/>
  <c r="S20" i="36"/>
  <c r="S28" i="36"/>
  <c r="S35" i="36"/>
  <c r="S36" i="36"/>
  <c r="S41" i="36"/>
  <c r="S48" i="36"/>
  <c r="S51" i="36"/>
  <c r="S21" i="36"/>
  <c r="S29" i="36"/>
  <c r="S37" i="36"/>
  <c r="S42" i="36"/>
  <c r="S45" i="36"/>
  <c r="S49" i="36"/>
  <c r="S14" i="36"/>
  <c r="S26" i="36"/>
  <c r="S32" i="36"/>
  <c r="S38" i="36"/>
  <c r="S43" i="36"/>
  <c r="S46" i="36"/>
  <c r="S50" i="36"/>
  <c r="S40" i="36"/>
  <c r="F10" i="62"/>
  <c r="P10" i="62" s="1"/>
  <c r="O39" i="36"/>
  <c r="O48" i="36"/>
  <c r="O30" i="36"/>
  <c r="O21" i="36"/>
  <c r="O29" i="36"/>
  <c r="O37" i="36"/>
  <c r="O42" i="36"/>
  <c r="O44" i="36"/>
  <c r="O50" i="36"/>
  <c r="O14" i="36"/>
  <c r="O15" i="36"/>
  <c r="O33" i="36"/>
  <c r="E10" i="62"/>
  <c r="O10" i="62" s="1"/>
  <c r="O27" i="36"/>
  <c r="O20" i="36"/>
  <c r="O28" i="36"/>
  <c r="O41" i="36"/>
  <c r="O46" i="36"/>
  <c r="O49" i="36"/>
  <c r="O19" i="36"/>
  <c r="AM31" i="36"/>
  <c r="O24" i="36"/>
  <c r="AE24" i="36"/>
  <c r="AY24" i="36"/>
  <c r="O13" i="36"/>
  <c r="O26" i="36"/>
  <c r="O32" i="36"/>
  <c r="O38" i="36"/>
  <c r="O43" i="36"/>
  <c r="O45" i="36"/>
  <c r="O51" i="36"/>
  <c r="O34" i="36"/>
  <c r="O36" i="36"/>
  <c r="O40" i="36"/>
  <c r="S17" i="36"/>
  <c r="AA23" i="36"/>
  <c r="BA45" i="36"/>
  <c r="BM45" i="36" s="1"/>
  <c r="Q12" i="47"/>
  <c r="G23" i="36"/>
  <c r="AY22" i="36"/>
  <c r="W23" i="36"/>
  <c r="AI17" i="36"/>
  <c r="AY23" i="36"/>
  <c r="N11" i="62"/>
  <c r="N12" i="62" s="1"/>
  <c r="N17" i="62" s="1"/>
  <c r="R13" i="47"/>
  <c r="K55" i="56"/>
  <c r="AM23" i="36"/>
  <c r="AM22" i="36"/>
  <c r="K11" i="62"/>
  <c r="K12" i="62" s="1"/>
  <c r="K17" i="62" s="1"/>
  <c r="J43" i="56"/>
  <c r="AI23" i="36"/>
  <c r="O11" i="22"/>
  <c r="O14" i="22"/>
  <c r="O13" i="22"/>
  <c r="O12" i="22"/>
  <c r="I11" i="62"/>
  <c r="I12" i="62" s="1"/>
  <c r="I17" i="62" s="1"/>
  <c r="AA22" i="36"/>
  <c r="G11" i="62"/>
  <c r="G12" i="62" s="1"/>
  <c r="G17" i="62" s="1"/>
  <c r="G19" i="56"/>
  <c r="S22" i="36"/>
  <c r="F23" i="52"/>
  <c r="F106" i="52" s="1"/>
  <c r="S24" i="36"/>
  <c r="F19" i="56"/>
  <c r="G43" i="56"/>
  <c r="I7" i="22"/>
  <c r="H43" i="56"/>
  <c r="L43" i="56"/>
  <c r="F32" i="47"/>
  <c r="F124" i="47" s="1"/>
  <c r="F5" i="22"/>
  <c r="E59" i="56"/>
  <c r="E7" i="22"/>
  <c r="N59" i="56"/>
  <c r="N7" i="22"/>
  <c r="M43" i="56"/>
  <c r="D43" i="56"/>
  <c r="N43" i="56"/>
  <c r="D3" i="47"/>
  <c r="D5" i="22"/>
  <c r="L3" i="52"/>
  <c r="M7" i="61" s="1"/>
  <c r="L5" i="22"/>
  <c r="T63" i="47"/>
  <c r="T4" i="52"/>
  <c r="D59" i="56"/>
  <c r="D7" i="22"/>
  <c r="G59" i="56"/>
  <c r="G7" i="22"/>
  <c r="K59" i="56"/>
  <c r="K7" i="22"/>
  <c r="M59" i="56"/>
  <c r="M7" i="22"/>
  <c r="M55" i="56"/>
  <c r="T22" i="56"/>
  <c r="E43" i="56"/>
  <c r="F43" i="56"/>
  <c r="E3" i="47"/>
  <c r="E5" i="22"/>
  <c r="I57" i="56"/>
  <c r="I5" i="22"/>
  <c r="M3" i="47"/>
  <c r="M5" i="22"/>
  <c r="P141" i="47"/>
  <c r="J55" i="56"/>
  <c r="N55" i="56"/>
  <c r="F59" i="56"/>
  <c r="F7" i="22"/>
  <c r="H59" i="56"/>
  <c r="H7" i="22"/>
  <c r="J7" i="22"/>
  <c r="L59" i="56"/>
  <c r="L7" i="22"/>
  <c r="K43" i="56"/>
  <c r="I43" i="56"/>
  <c r="G3" i="47"/>
  <c r="G5" i="22"/>
  <c r="K32" i="47"/>
  <c r="K124" i="47" s="1"/>
  <c r="K5" i="22"/>
  <c r="T58" i="56"/>
  <c r="C7" i="22"/>
  <c r="T40" i="56"/>
  <c r="T37" i="56"/>
  <c r="T35" i="56"/>
  <c r="C43" i="56"/>
  <c r="T39" i="56"/>
  <c r="S71" i="47"/>
  <c r="C11" i="62"/>
  <c r="T50" i="56"/>
  <c r="T38" i="56"/>
  <c r="T36" i="56"/>
  <c r="S87" i="47"/>
  <c r="T49" i="56"/>
  <c r="T47" i="56"/>
  <c r="T51" i="56"/>
  <c r="BA44" i="36"/>
  <c r="BA51" i="36"/>
  <c r="BA48" i="36"/>
  <c r="BA49" i="36"/>
  <c r="BM49" i="36" s="1"/>
  <c r="BA50" i="36"/>
  <c r="BM50" i="36" s="1"/>
  <c r="G45" i="36"/>
  <c r="BA47" i="36"/>
  <c r="BM47" i="36" s="1"/>
  <c r="BA46" i="36"/>
  <c r="AQ25" i="36"/>
  <c r="L40" i="47"/>
  <c r="L134" i="47" s="1"/>
  <c r="H40" i="47"/>
  <c r="H134" i="47" s="1"/>
  <c r="AY18" i="36"/>
  <c r="W16" i="36"/>
  <c r="Q141" i="47"/>
  <c r="C19" i="56"/>
  <c r="H23" i="52"/>
  <c r="I21" i="61" s="1"/>
  <c r="I42" i="61" s="1"/>
  <c r="AE22" i="36"/>
  <c r="AI22" i="36"/>
  <c r="S23" i="36"/>
  <c r="E13" i="62"/>
  <c r="I13" i="62"/>
  <c r="L19" i="56"/>
  <c r="I23" i="52"/>
  <c r="J21" i="61" s="1"/>
  <c r="K13" i="62"/>
  <c r="P87" i="52"/>
  <c r="O87" i="52"/>
  <c r="O85" i="52"/>
  <c r="M14" i="47"/>
  <c r="O17" i="36"/>
  <c r="E11" i="62"/>
  <c r="AQ16" i="36"/>
  <c r="L10" i="62"/>
  <c r="AE17" i="36"/>
  <c r="S16" i="36"/>
  <c r="AY25" i="36"/>
  <c r="AQ22" i="36"/>
  <c r="I14" i="47"/>
  <c r="G17" i="36"/>
  <c r="AM17" i="36"/>
  <c r="L11" i="62"/>
  <c r="R11" i="62" s="1"/>
  <c r="H11" i="62"/>
  <c r="H12" i="62" s="1"/>
  <c r="H17" i="62" s="1"/>
  <c r="D11" i="62"/>
  <c r="D12" i="62" s="1"/>
  <c r="D17" i="62" s="1"/>
  <c r="AI16" i="36"/>
  <c r="W24" i="36"/>
  <c r="O25" i="36"/>
  <c r="S25" i="36"/>
  <c r="C14" i="47"/>
  <c r="P13" i="47"/>
  <c r="O13" i="47"/>
  <c r="N14" i="47"/>
  <c r="AY17" i="36"/>
  <c r="J11" i="62"/>
  <c r="J12" i="62" s="1"/>
  <c r="F11" i="62"/>
  <c r="Q10" i="62"/>
  <c r="N149" i="47"/>
  <c r="M11" i="32" s="1"/>
  <c r="M50" i="39" s="1"/>
  <c r="M12" i="32"/>
  <c r="M51" i="39" s="1"/>
  <c r="N13" i="62"/>
  <c r="L12" i="32"/>
  <c r="L51" i="39" s="1"/>
  <c r="M149" i="47"/>
  <c r="L11" i="32" s="1"/>
  <c r="L50" i="39" s="1"/>
  <c r="M19" i="56"/>
  <c r="L13" i="62"/>
  <c r="L149" i="47"/>
  <c r="K11" i="32" s="1"/>
  <c r="R55" i="47"/>
  <c r="AM24" i="36"/>
  <c r="AM25" i="36"/>
  <c r="K149" i="47"/>
  <c r="J11" i="32" s="1"/>
  <c r="J50" i="39" s="1"/>
  <c r="AM16" i="36"/>
  <c r="J13" i="62"/>
  <c r="J19" i="56"/>
  <c r="Q55" i="47"/>
  <c r="I149" i="47"/>
  <c r="H11" i="32" s="1"/>
  <c r="H50" i="39" s="1"/>
  <c r="I19" i="56"/>
  <c r="AA16" i="36"/>
  <c r="H13" i="62"/>
  <c r="G12" i="32"/>
  <c r="G51" i="39" s="1"/>
  <c r="H149" i="47"/>
  <c r="G11" i="32" s="1"/>
  <c r="G149" i="47"/>
  <c r="F11" i="32" s="1"/>
  <c r="F50" i="39" s="1"/>
  <c r="G13" i="62"/>
  <c r="E12" i="32"/>
  <c r="E51" i="39" s="1"/>
  <c r="F13" i="62"/>
  <c r="D12" i="32"/>
  <c r="D51" i="39" s="1"/>
  <c r="E19" i="56"/>
  <c r="O16" i="36"/>
  <c r="D149" i="47"/>
  <c r="C11" i="32" s="1"/>
  <c r="C50" i="39" s="1"/>
  <c r="C12" i="32"/>
  <c r="C51" i="39" s="1"/>
  <c r="D13" i="62"/>
  <c r="B12" i="32"/>
  <c r="B51" i="39" s="1"/>
  <c r="O150" i="47"/>
  <c r="C149" i="47"/>
  <c r="B11" i="32" s="1"/>
  <c r="B50" i="39" s="1"/>
  <c r="G16" i="36"/>
  <c r="C13" i="62"/>
  <c r="C23" i="52"/>
  <c r="D21" i="61" s="1"/>
  <c r="N26" i="32"/>
  <c r="N37" i="39"/>
  <c r="R19" i="60"/>
  <c r="R50" i="61"/>
  <c r="C9" i="18"/>
  <c r="C27" i="18"/>
  <c r="C15" i="18"/>
  <c r="N35" i="39"/>
  <c r="N34" i="39"/>
  <c r="I38" i="52"/>
  <c r="I40" i="52" s="1"/>
  <c r="J73" i="61"/>
  <c r="E41" i="52"/>
  <c r="E43" i="52" s="1"/>
  <c r="F74" i="61"/>
  <c r="F81" i="61" s="1"/>
  <c r="I41" i="52"/>
  <c r="I43" i="52" s="1"/>
  <c r="J74" i="61"/>
  <c r="I26" i="57"/>
  <c r="J65" i="60" s="1"/>
  <c r="J91" i="61"/>
  <c r="R91" i="61" s="1"/>
  <c r="J38" i="52"/>
  <c r="J40" i="52" s="1"/>
  <c r="J53" i="52" s="1"/>
  <c r="K73" i="61"/>
  <c r="K80" i="61" s="1"/>
  <c r="S50" i="61"/>
  <c r="L26" i="57"/>
  <c r="M65" i="60" s="1"/>
  <c r="M91" i="61"/>
  <c r="Q19" i="60"/>
  <c r="Q47" i="60"/>
  <c r="J61" i="61"/>
  <c r="C38" i="52"/>
  <c r="D73" i="61"/>
  <c r="G38" i="52"/>
  <c r="G40" i="52" s="1"/>
  <c r="G53" i="52" s="1"/>
  <c r="H73" i="61"/>
  <c r="H80" i="61" s="1"/>
  <c r="K38" i="52"/>
  <c r="K40" i="52" s="1"/>
  <c r="K53" i="52" s="1"/>
  <c r="L73" i="61"/>
  <c r="L80" i="61" s="1"/>
  <c r="C41" i="52"/>
  <c r="C43" i="52" s="1"/>
  <c r="D74" i="61"/>
  <c r="G41" i="52"/>
  <c r="G43" i="52" s="1"/>
  <c r="G54" i="52" s="1"/>
  <c r="H74" i="61"/>
  <c r="H81" i="61" s="1"/>
  <c r="K41" i="52"/>
  <c r="K43" i="52" s="1"/>
  <c r="L74" i="61"/>
  <c r="L81" i="61" s="1"/>
  <c r="P91" i="61"/>
  <c r="R46" i="60"/>
  <c r="E38" i="52"/>
  <c r="E40" i="52" s="1"/>
  <c r="F73" i="61"/>
  <c r="M38" i="52"/>
  <c r="M40" i="52" s="1"/>
  <c r="M53" i="52" s="1"/>
  <c r="N73" i="61"/>
  <c r="N80" i="61" s="1"/>
  <c r="F38" i="52"/>
  <c r="F40" i="52" s="1"/>
  <c r="G73" i="61"/>
  <c r="N38" i="52"/>
  <c r="N40" i="52" s="1"/>
  <c r="O73" i="61"/>
  <c r="O80" i="61" s="1"/>
  <c r="F41" i="52"/>
  <c r="F43" i="52" s="1"/>
  <c r="G74" i="61"/>
  <c r="J41" i="52"/>
  <c r="J43" i="52" s="1"/>
  <c r="J54" i="52" s="1"/>
  <c r="K74" i="61"/>
  <c r="K81" i="61" s="1"/>
  <c r="N41" i="52"/>
  <c r="N43" i="52" s="1"/>
  <c r="N54" i="52" s="1"/>
  <c r="O74" i="61"/>
  <c r="O81" i="61" s="1"/>
  <c r="R48" i="60"/>
  <c r="N78" i="61"/>
  <c r="N61" i="61"/>
  <c r="L78" i="61"/>
  <c r="L61" i="61"/>
  <c r="H78" i="61"/>
  <c r="H61" i="61"/>
  <c r="F78" i="61"/>
  <c r="F61" i="61"/>
  <c r="D38" i="52"/>
  <c r="D40" i="52" s="1"/>
  <c r="D53" i="52" s="1"/>
  <c r="E73" i="61"/>
  <c r="E80" i="61" s="1"/>
  <c r="H38" i="52"/>
  <c r="H40" i="52" s="1"/>
  <c r="H53" i="52" s="1"/>
  <c r="I73" i="61"/>
  <c r="I80" i="61" s="1"/>
  <c r="L38" i="52"/>
  <c r="L40" i="52" s="1"/>
  <c r="M73" i="61"/>
  <c r="D41" i="52"/>
  <c r="D43" i="52" s="1"/>
  <c r="D54" i="52" s="1"/>
  <c r="E74" i="61"/>
  <c r="E81" i="61" s="1"/>
  <c r="H41" i="52"/>
  <c r="H43" i="52" s="1"/>
  <c r="H54" i="52" s="1"/>
  <c r="I74" i="61"/>
  <c r="I81" i="61" s="1"/>
  <c r="L41" i="52"/>
  <c r="L43" i="52" s="1"/>
  <c r="L54" i="52" s="1"/>
  <c r="M74" i="61"/>
  <c r="P50" i="61"/>
  <c r="T50" i="61"/>
  <c r="Q50" i="61"/>
  <c r="N26" i="57"/>
  <c r="O65" i="60" s="1"/>
  <c r="O91" i="61"/>
  <c r="Q91" i="61"/>
  <c r="O78" i="61"/>
  <c r="O61" i="61"/>
  <c r="M61" i="61"/>
  <c r="K78" i="61"/>
  <c r="K61" i="61"/>
  <c r="I61" i="61"/>
  <c r="I78" i="61"/>
  <c r="G61" i="61"/>
  <c r="E61" i="61"/>
  <c r="E78" i="61"/>
  <c r="M121" i="61"/>
  <c r="N24" i="39"/>
  <c r="P18" i="60"/>
  <c r="T18" i="60"/>
  <c r="T19" i="60"/>
  <c r="P19" i="60"/>
  <c r="R47" i="60"/>
  <c r="S48" i="60"/>
  <c r="Q46" i="60"/>
  <c r="Q18" i="60"/>
  <c r="S19" i="60"/>
  <c r="S18" i="60"/>
  <c r="R18" i="60"/>
  <c r="P48" i="60"/>
  <c r="T48" i="60"/>
  <c r="S47" i="60"/>
  <c r="S46" i="60"/>
  <c r="T47" i="60"/>
  <c r="P47" i="60"/>
  <c r="Q48" i="60"/>
  <c r="Q19" i="57"/>
  <c r="I49" i="39"/>
  <c r="R53" i="56"/>
  <c r="G49" i="39"/>
  <c r="F49" i="39"/>
  <c r="M25" i="48"/>
  <c r="R19" i="57"/>
  <c r="P53" i="56"/>
  <c r="Q53" i="56"/>
  <c r="S53" i="56"/>
  <c r="O53" i="56"/>
  <c r="AO54" i="36"/>
  <c r="Q49" i="52"/>
  <c r="G51" i="52"/>
  <c r="M51" i="52"/>
  <c r="R49" i="52"/>
  <c r="K51" i="52"/>
  <c r="I51" i="52"/>
  <c r="N51" i="52"/>
  <c r="L51" i="52"/>
  <c r="H51" i="52"/>
  <c r="D51" i="52"/>
  <c r="R26" i="47"/>
  <c r="Q26" i="47"/>
  <c r="O18" i="36"/>
  <c r="G45" i="39"/>
  <c r="C9" i="48"/>
  <c r="C13" i="48"/>
  <c r="C18" i="48"/>
  <c r="O31" i="52"/>
  <c r="C25" i="48"/>
  <c r="I8" i="48"/>
  <c r="I12" i="48" s="1"/>
  <c r="O18" i="47"/>
  <c r="R22" i="47"/>
  <c r="O22" i="47"/>
  <c r="P26" i="47"/>
  <c r="O26" i="47"/>
  <c r="M18" i="48"/>
  <c r="M22" i="48" s="1"/>
  <c r="Q22" i="47"/>
  <c r="M13" i="48"/>
  <c r="M17" i="48" s="1"/>
  <c r="P22" i="47"/>
  <c r="S83" i="47"/>
  <c r="S79" i="47"/>
  <c r="S67" i="47"/>
  <c r="R20" i="57"/>
  <c r="P42" i="56"/>
  <c r="P20" i="57"/>
  <c r="P23" i="57"/>
  <c r="P24" i="57"/>
  <c r="M38" i="47"/>
  <c r="M132" i="47" s="1"/>
  <c r="R11" i="47"/>
  <c r="R39" i="47"/>
  <c r="L133" i="47"/>
  <c r="R133" i="47" s="1"/>
  <c r="AQ17" i="36"/>
  <c r="R12" i="47"/>
  <c r="AQ23" i="36"/>
  <c r="L14" i="47"/>
  <c r="AK54" i="36"/>
  <c r="K14" i="47"/>
  <c r="AI24" i="36"/>
  <c r="J14" i="47"/>
  <c r="BA24" i="36"/>
  <c r="BK24" i="36" s="1"/>
  <c r="BA20" i="36"/>
  <c r="BK20" i="36" s="1"/>
  <c r="AG54" i="36"/>
  <c r="AI25" i="36"/>
  <c r="AE25" i="36"/>
  <c r="Q13" i="47"/>
  <c r="I38" i="47"/>
  <c r="I132" i="47" s="1"/>
  <c r="Q39" i="47"/>
  <c r="Q11" i="47"/>
  <c r="H14" i="47"/>
  <c r="AA25" i="36"/>
  <c r="BA42" i="36"/>
  <c r="BK42" i="36" s="1"/>
  <c r="G14" i="47"/>
  <c r="BA26" i="36"/>
  <c r="BK26" i="36" s="1"/>
  <c r="W22" i="36"/>
  <c r="S11" i="47"/>
  <c r="W25" i="36"/>
  <c r="P11" i="47"/>
  <c r="BA19" i="36"/>
  <c r="BK19" i="36" s="1"/>
  <c r="G38" i="47"/>
  <c r="G132" i="47" s="1"/>
  <c r="S19" i="36"/>
  <c r="P12" i="47"/>
  <c r="F14" i="47"/>
  <c r="P39" i="47"/>
  <c r="M54" i="36"/>
  <c r="BA18" i="36"/>
  <c r="BK18" i="36" s="1"/>
  <c r="BA17" i="36"/>
  <c r="BK17" i="36" s="1"/>
  <c r="BA16" i="36"/>
  <c r="BK16" i="36" s="1"/>
  <c r="O23" i="36"/>
  <c r="O22" i="36"/>
  <c r="E14" i="47"/>
  <c r="BA32" i="36"/>
  <c r="BK32" i="36" s="1"/>
  <c r="BA41" i="36"/>
  <c r="BK41" i="36" s="1"/>
  <c r="O35" i="36"/>
  <c r="O11" i="47"/>
  <c r="BA38" i="36"/>
  <c r="BK38" i="36" s="1"/>
  <c r="BA13" i="36"/>
  <c r="BK13" i="36" s="1"/>
  <c r="BA21" i="36"/>
  <c r="BK21" i="36" s="1"/>
  <c r="BA15" i="36"/>
  <c r="BK15" i="36" s="1"/>
  <c r="BA33" i="36"/>
  <c r="BK33" i="36" s="1"/>
  <c r="S13" i="47"/>
  <c r="BA30" i="36"/>
  <c r="G24" i="36"/>
  <c r="BA28" i="36"/>
  <c r="BK28" i="36" s="1"/>
  <c r="BA25" i="36"/>
  <c r="BK25" i="36" s="1"/>
  <c r="BA14" i="36"/>
  <c r="BK14" i="36" s="1"/>
  <c r="O12" i="47"/>
  <c r="BA22" i="36"/>
  <c r="BK22" i="36" s="1"/>
  <c r="G22" i="36"/>
  <c r="BA27" i="36"/>
  <c r="BK27" i="36" s="1"/>
  <c r="BA23" i="36"/>
  <c r="BK23" i="36" s="1"/>
  <c r="N19" i="56"/>
  <c r="M23" i="52"/>
  <c r="L23" i="52"/>
  <c r="K45" i="39"/>
  <c r="AI18" i="36"/>
  <c r="J23" i="52"/>
  <c r="AD54" i="36"/>
  <c r="AE16" i="36"/>
  <c r="H19" i="56"/>
  <c r="V54" i="36"/>
  <c r="E45" i="39"/>
  <c r="E23" i="52"/>
  <c r="E21" i="52"/>
  <c r="E22" i="52" s="1"/>
  <c r="F20" i="61" s="1"/>
  <c r="D19" i="56"/>
  <c r="K24" i="36"/>
  <c r="D23" i="52"/>
  <c r="C54" i="47"/>
  <c r="C57" i="47" s="1"/>
  <c r="D34" i="61" s="1"/>
  <c r="C30" i="47"/>
  <c r="C76" i="52"/>
  <c r="C29" i="57"/>
  <c r="D75" i="60" s="1"/>
  <c r="F54" i="36"/>
  <c r="O29" i="47"/>
  <c r="N23" i="52"/>
  <c r="AY16" i="36"/>
  <c r="AX54" i="36"/>
  <c r="K15" i="36"/>
  <c r="K23" i="36"/>
  <c r="K17" i="36"/>
  <c r="BA43" i="36"/>
  <c r="BK43" i="36" s="1"/>
  <c r="BA31" i="36"/>
  <c r="BK31" i="36" s="1"/>
  <c r="K22" i="36"/>
  <c r="K18" i="36"/>
  <c r="K16" i="36"/>
  <c r="O28" i="27"/>
  <c r="K42" i="36"/>
  <c r="BA29" i="36"/>
  <c r="K41" i="36"/>
  <c r="K33" i="36"/>
  <c r="K27" i="36"/>
  <c r="K25" i="36"/>
  <c r="BA40" i="36"/>
  <c r="BK40" i="36" s="1"/>
  <c r="D39" i="47"/>
  <c r="S39" i="47" s="1"/>
  <c r="S12" i="47"/>
  <c r="D14" i="47"/>
  <c r="N30" i="47"/>
  <c r="N57" i="47"/>
  <c r="O34" i="61" s="1"/>
  <c r="M45" i="39"/>
  <c r="M103" i="52"/>
  <c r="R103" i="52" s="1"/>
  <c r="R20" i="52"/>
  <c r="M54" i="47"/>
  <c r="M57" i="47" s="1"/>
  <c r="N34" i="61" s="1"/>
  <c r="N37" i="61" s="1"/>
  <c r="M30" i="47"/>
  <c r="L56" i="47"/>
  <c r="R29" i="47"/>
  <c r="L54" i="47"/>
  <c r="L148" i="47" s="1"/>
  <c r="K10" i="32" s="1"/>
  <c r="R27" i="47"/>
  <c r="L30" i="47"/>
  <c r="R28" i="47"/>
  <c r="K57" i="47"/>
  <c r="L34" i="61" s="1"/>
  <c r="L37" i="61" s="1"/>
  <c r="K30" i="47"/>
  <c r="Q103" i="52"/>
  <c r="K23" i="52"/>
  <c r="CO21" i="26"/>
  <c r="Q20" i="52"/>
  <c r="AH54" i="36"/>
  <c r="J30" i="47"/>
  <c r="Q28" i="47"/>
  <c r="CO26" i="26"/>
  <c r="BB24" i="36"/>
  <c r="BL24" i="36" s="1"/>
  <c r="CN8" i="26"/>
  <c r="CO7" i="26"/>
  <c r="CO13" i="26"/>
  <c r="CO16" i="26"/>
  <c r="Q29" i="47"/>
  <c r="I56" i="47"/>
  <c r="I150" i="47" s="1"/>
  <c r="I54" i="47"/>
  <c r="I148" i="47" s="1"/>
  <c r="H10" i="32" s="1"/>
  <c r="Q27" i="47"/>
  <c r="I30" i="47"/>
  <c r="CN6" i="26"/>
  <c r="CN14" i="26"/>
  <c r="CO5" i="26"/>
  <c r="CO17" i="26"/>
  <c r="CO14" i="26"/>
  <c r="CO15" i="26"/>
  <c r="CO24" i="26"/>
  <c r="H30" i="47"/>
  <c r="CN7" i="26"/>
  <c r="CN15" i="26"/>
  <c r="P20" i="52"/>
  <c r="CO12" i="26"/>
  <c r="G56" i="47"/>
  <c r="G150" i="47" s="1"/>
  <c r="P29" i="47"/>
  <c r="BB23" i="36"/>
  <c r="BL23" i="36" s="1"/>
  <c r="G23" i="52"/>
  <c r="CO6" i="26"/>
  <c r="CO18" i="26"/>
  <c r="CO8" i="26"/>
  <c r="CO11" i="26"/>
  <c r="P103" i="52"/>
  <c r="CN11" i="26"/>
  <c r="G30" i="47"/>
  <c r="P27" i="47"/>
  <c r="BB17" i="36"/>
  <c r="BL17" i="36" s="1"/>
  <c r="P28" i="47"/>
  <c r="F55" i="47"/>
  <c r="F30" i="47"/>
  <c r="S29" i="47"/>
  <c r="CO9" i="26"/>
  <c r="CN25" i="26"/>
  <c r="CN17" i="26"/>
  <c r="CN5" i="26"/>
  <c r="E55" i="47"/>
  <c r="E149" i="47" s="1"/>
  <c r="D11" i="32" s="1"/>
  <c r="O28" i="47"/>
  <c r="S28" i="47"/>
  <c r="E54" i="47"/>
  <c r="E148" i="47" s="1"/>
  <c r="D10" i="32" s="1"/>
  <c r="E30" i="47"/>
  <c r="CN27" i="26"/>
  <c r="CN16" i="26"/>
  <c r="CN13" i="26"/>
  <c r="CO25" i="26"/>
  <c r="E76" i="52"/>
  <c r="CN26" i="26"/>
  <c r="CN21" i="26"/>
  <c r="CN18" i="26"/>
  <c r="CO27" i="26"/>
  <c r="CN10" i="26"/>
  <c r="S20" i="52"/>
  <c r="D103" i="52"/>
  <c r="O20" i="52"/>
  <c r="CK28" i="26"/>
  <c r="CO23" i="26"/>
  <c r="CN20" i="26"/>
  <c r="CO10" i="26"/>
  <c r="D27" i="47"/>
  <c r="O56" i="47"/>
  <c r="BB16" i="36"/>
  <c r="BL16" i="36" s="1"/>
  <c r="BB25" i="36"/>
  <c r="BL25" i="36" s="1"/>
  <c r="BB22" i="36"/>
  <c r="BL22" i="36" s="1"/>
  <c r="CN12" i="26"/>
  <c r="CO20" i="26"/>
  <c r="R21" i="57"/>
  <c r="R22" i="57"/>
  <c r="R24" i="57"/>
  <c r="Q21" i="57"/>
  <c r="Q24" i="57"/>
  <c r="Q20" i="57"/>
  <c r="S21" i="57"/>
  <c r="P21" i="57"/>
  <c r="S22" i="57"/>
  <c r="P22" i="57"/>
  <c r="Q22" i="57"/>
  <c r="S24" i="57"/>
  <c r="S20" i="57"/>
  <c r="Q23" i="57"/>
  <c r="R23" i="57"/>
  <c r="O23" i="57"/>
  <c r="M9" i="48"/>
  <c r="M63" i="52"/>
  <c r="M64" i="52" s="1"/>
  <c r="N101" i="61" s="1"/>
  <c r="N122" i="61" s="1"/>
  <c r="N148" i="47"/>
  <c r="Q126" i="47"/>
  <c r="S126" i="47"/>
  <c r="P126" i="47"/>
  <c r="R126" i="47"/>
  <c r="O126" i="47"/>
  <c r="O6" i="47"/>
  <c r="L33" i="47"/>
  <c r="S127" i="47"/>
  <c r="O127" i="47"/>
  <c r="Q33" i="47"/>
  <c r="P33" i="47"/>
  <c r="O33" i="47"/>
  <c r="P6" i="47"/>
  <c r="S6" i="47"/>
  <c r="O125" i="47"/>
  <c r="K148" i="47"/>
  <c r="J10" i="32" s="1"/>
  <c r="E101" i="52"/>
  <c r="F61" i="52"/>
  <c r="G100" i="61" s="1"/>
  <c r="F89" i="47"/>
  <c r="M45" i="47"/>
  <c r="R42" i="47"/>
  <c r="M89" i="47"/>
  <c r="L136" i="47"/>
  <c r="R136" i="47" s="1"/>
  <c r="M24" i="48"/>
  <c r="M30" i="57"/>
  <c r="L89" i="47"/>
  <c r="N89" i="47"/>
  <c r="M41" i="52"/>
  <c r="M43" i="52" s="1"/>
  <c r="M23" i="48"/>
  <c r="I27" i="48"/>
  <c r="K49" i="47"/>
  <c r="Q89" i="47"/>
  <c r="I89" i="47"/>
  <c r="P42" i="47"/>
  <c r="F88" i="47"/>
  <c r="E51" i="52"/>
  <c r="D88" i="47"/>
  <c r="D89" i="47"/>
  <c r="H57" i="47"/>
  <c r="I34" i="61" s="1"/>
  <c r="I37" i="61" s="1"/>
  <c r="R89" i="47"/>
  <c r="O89" i="47"/>
  <c r="G89" i="47"/>
  <c r="D49" i="47"/>
  <c r="L49" i="47"/>
  <c r="M88" i="47"/>
  <c r="E45" i="47"/>
  <c r="H89" i="47"/>
  <c r="P89" i="47"/>
  <c r="K132" i="47"/>
  <c r="R34" i="47"/>
  <c r="R52" i="47"/>
  <c r="Q51" i="47"/>
  <c r="P52" i="47"/>
  <c r="K53" i="47"/>
  <c r="K17" i="52" s="1"/>
  <c r="K19" i="52" s="1"/>
  <c r="P47" i="47"/>
  <c r="Q46" i="47"/>
  <c r="H49" i="47"/>
  <c r="D141" i="47"/>
  <c r="D143" i="47" s="1"/>
  <c r="L141" i="47"/>
  <c r="R141" i="47" s="1"/>
  <c r="R48" i="47"/>
  <c r="J45" i="47"/>
  <c r="N45" i="47"/>
  <c r="J137" i="47"/>
  <c r="J139" i="47" s="1"/>
  <c r="I22" i="48"/>
  <c r="I45" i="47"/>
  <c r="F45" i="47"/>
  <c r="I17" i="48"/>
  <c r="Q128" i="47"/>
  <c r="Q36" i="47"/>
  <c r="E37" i="47"/>
  <c r="Q35" i="47"/>
  <c r="Q34" i="47"/>
  <c r="P34" i="47"/>
  <c r="M37" i="47"/>
  <c r="K130" i="47"/>
  <c r="Q130" i="47" s="1"/>
  <c r="K37" i="47"/>
  <c r="M128" i="47"/>
  <c r="R128" i="47" s="1"/>
  <c r="J37" i="47"/>
  <c r="J5" i="52" s="1"/>
  <c r="C54" i="56"/>
  <c r="C55" i="56" s="1"/>
  <c r="M24" i="56"/>
  <c r="E54" i="56"/>
  <c r="E55" i="56" s="1"/>
  <c r="Q41" i="56"/>
  <c r="Q43" i="56" s="1"/>
  <c r="P4" i="56"/>
  <c r="E9" i="52"/>
  <c r="E92" i="52" s="1"/>
  <c r="E32" i="57"/>
  <c r="F54" i="56"/>
  <c r="F55" i="56" s="1"/>
  <c r="O21" i="57"/>
  <c r="K70" i="52"/>
  <c r="D31" i="57"/>
  <c r="B27" i="48"/>
  <c r="O48" i="56"/>
  <c r="O54" i="56" s="1"/>
  <c r="N70" i="52"/>
  <c r="J98" i="52"/>
  <c r="D26" i="57"/>
  <c r="E65" i="60" s="1"/>
  <c r="O22" i="57"/>
  <c r="C61" i="52"/>
  <c r="D100" i="61" s="1"/>
  <c r="G34" i="57"/>
  <c r="G44" i="57" s="1"/>
  <c r="H9" i="52"/>
  <c r="H92" i="52" s="1"/>
  <c r="K63" i="52"/>
  <c r="K9" i="52" s="1"/>
  <c r="H26" i="57"/>
  <c r="I65" i="60" s="1"/>
  <c r="H16" i="57"/>
  <c r="I36" i="60" s="1"/>
  <c r="E64" i="52"/>
  <c r="F101" i="61" s="1"/>
  <c r="F122" i="61" s="1"/>
  <c r="K95" i="52"/>
  <c r="Q95" i="52" s="1"/>
  <c r="H54" i="56"/>
  <c r="H55" i="56" s="1"/>
  <c r="D58" i="52"/>
  <c r="F30" i="57"/>
  <c r="M33" i="57"/>
  <c r="M43" i="57" s="1"/>
  <c r="M8" i="48"/>
  <c r="N24" i="56"/>
  <c r="K67" i="52"/>
  <c r="Q30" i="52"/>
  <c r="G30" i="57"/>
  <c r="H64" i="52"/>
  <c r="I101" i="61" s="1"/>
  <c r="I122" i="61" s="1"/>
  <c r="G70" i="52"/>
  <c r="R62" i="47"/>
  <c r="K16" i="57"/>
  <c r="L36" i="60" s="1"/>
  <c r="N30" i="57"/>
  <c r="O76" i="60" s="1"/>
  <c r="G33" i="57"/>
  <c r="G43" i="57" s="1"/>
  <c r="O34" i="56"/>
  <c r="Q15" i="56"/>
  <c r="N63" i="52"/>
  <c r="N32" i="57" s="1"/>
  <c r="I32" i="47"/>
  <c r="I124" i="47" s="1"/>
  <c r="J26" i="57"/>
  <c r="K65" i="60" s="1"/>
  <c r="G54" i="56"/>
  <c r="G55" i="56" s="1"/>
  <c r="F33" i="57"/>
  <c r="F43" i="57" s="1"/>
  <c r="M61" i="52"/>
  <c r="N100" i="61" s="1"/>
  <c r="N121" i="61" s="1"/>
  <c r="C132" i="47"/>
  <c r="G95" i="52"/>
  <c r="I54" i="56"/>
  <c r="I55" i="56" s="1"/>
  <c r="P14" i="57"/>
  <c r="P13" i="57"/>
  <c r="K30" i="57"/>
  <c r="L33" i="57"/>
  <c r="L43" i="57" s="1"/>
  <c r="E33" i="57"/>
  <c r="E43" i="57" s="1"/>
  <c r="Q60" i="52"/>
  <c r="Q61" i="52" s="1"/>
  <c r="I24" i="56"/>
  <c r="E61" i="52"/>
  <c r="F100" i="61" s="1"/>
  <c r="F121" i="61" s="1"/>
  <c r="P41" i="56"/>
  <c r="O24" i="57"/>
  <c r="G16" i="57"/>
  <c r="H36" i="60" s="1"/>
  <c r="J30" i="57"/>
  <c r="G31" i="57"/>
  <c r="I33" i="57"/>
  <c r="I43" i="57" s="1"/>
  <c r="B12" i="48"/>
  <c r="R15" i="56"/>
  <c r="S15" i="56"/>
  <c r="C9" i="52"/>
  <c r="C12" i="57" s="1"/>
  <c r="C42" i="57" s="1"/>
  <c r="H24" i="56"/>
  <c r="J57" i="56"/>
  <c r="G9" i="52"/>
  <c r="G32" i="57"/>
  <c r="I16" i="57"/>
  <c r="J36" i="60" s="1"/>
  <c r="L16" i="57"/>
  <c r="M36" i="60" s="1"/>
  <c r="E58" i="52"/>
  <c r="O46" i="56"/>
  <c r="E95" i="52"/>
  <c r="E31" i="57"/>
  <c r="F77" i="60" s="1"/>
  <c r="I98" i="52"/>
  <c r="I30" i="57"/>
  <c r="L63" i="52"/>
  <c r="R48" i="56"/>
  <c r="R54" i="56" s="1"/>
  <c r="L54" i="56"/>
  <c r="L55" i="56" s="1"/>
  <c r="K61" i="52"/>
  <c r="L100" i="61" s="1"/>
  <c r="L121" i="61" s="1"/>
  <c r="I32" i="57"/>
  <c r="P48" i="56"/>
  <c r="P54" i="56" s="1"/>
  <c r="L30" i="57"/>
  <c r="L70" i="52"/>
  <c r="D70" i="52"/>
  <c r="D30" i="57"/>
  <c r="L73" i="52"/>
  <c r="L101" i="52"/>
  <c r="H73" i="52"/>
  <c r="H34" i="57"/>
  <c r="H44" i="57" s="1"/>
  <c r="P34" i="56"/>
  <c r="J89" i="52"/>
  <c r="Q89" i="52" s="1"/>
  <c r="J33" i="57"/>
  <c r="F92" i="52"/>
  <c r="P15" i="56"/>
  <c r="F64" i="52"/>
  <c r="G101" i="61" s="1"/>
  <c r="C3" i="47"/>
  <c r="C3" i="52"/>
  <c r="H32" i="47"/>
  <c r="H124" i="47" s="1"/>
  <c r="C33" i="57"/>
  <c r="C43" i="57" s="1"/>
  <c r="L34" i="57"/>
  <c r="L44" i="57" s="1"/>
  <c r="Q48" i="56"/>
  <c r="Q54" i="56" s="1"/>
  <c r="P63" i="52"/>
  <c r="P64" i="52" s="1"/>
  <c r="O63" i="52"/>
  <c r="O64" i="52" s="1"/>
  <c r="C30" i="57"/>
  <c r="C70" i="52"/>
  <c r="E27" i="48"/>
  <c r="C24" i="48"/>
  <c r="D9" i="52"/>
  <c r="D32" i="57"/>
  <c r="I61" i="52"/>
  <c r="J100" i="61" s="1"/>
  <c r="D64" i="52"/>
  <c r="E101" i="61" s="1"/>
  <c r="E122" i="61" s="1"/>
  <c r="I64" i="52"/>
  <c r="J101" i="61" s="1"/>
  <c r="I70" i="52"/>
  <c r="G73" i="52"/>
  <c r="D98" i="52"/>
  <c r="D101" i="52"/>
  <c r="K101" i="52"/>
  <c r="G26" i="57"/>
  <c r="H65" i="60" s="1"/>
  <c r="O36" i="47"/>
  <c r="S26" i="47"/>
  <c r="C64" i="52"/>
  <c r="D101" i="61" s="1"/>
  <c r="H30" i="57"/>
  <c r="H31" i="57"/>
  <c r="K34" i="57"/>
  <c r="K44" i="57" s="1"/>
  <c r="F32" i="57"/>
  <c r="K33" i="57"/>
  <c r="K43" i="57" s="1"/>
  <c r="D22" i="48"/>
  <c r="D24" i="56"/>
  <c r="S48" i="56"/>
  <c r="D54" i="56"/>
  <c r="D55" i="56" s="1"/>
  <c r="I9" i="52"/>
  <c r="J63" i="52"/>
  <c r="P69" i="52"/>
  <c r="P70" i="52" s="1"/>
  <c r="E17" i="48"/>
  <c r="O15" i="56"/>
  <c r="J24" i="56"/>
  <c r="R41" i="56"/>
  <c r="R32" i="52"/>
  <c r="R34" i="52" s="1"/>
  <c r="N16" i="57"/>
  <c r="O36" i="60" s="1"/>
  <c r="R30" i="52"/>
  <c r="M73" i="52"/>
  <c r="M16" i="57"/>
  <c r="N36" i="60" s="1"/>
  <c r="S30" i="52"/>
  <c r="L98" i="52"/>
  <c r="R98" i="52" s="1"/>
  <c r="L32" i="47"/>
  <c r="L124" i="47" s="1"/>
  <c r="L57" i="56"/>
  <c r="L31" i="57"/>
  <c r="R42" i="56"/>
  <c r="L89" i="52"/>
  <c r="L3" i="47"/>
  <c r="R66" i="52"/>
  <c r="R67" i="52" s="1"/>
  <c r="R60" i="52"/>
  <c r="R61" i="52" s="1"/>
  <c r="K26" i="57"/>
  <c r="L65" i="60" s="1"/>
  <c r="Q13" i="57"/>
  <c r="K41" i="57"/>
  <c r="E22" i="48"/>
  <c r="Q61" i="56"/>
  <c r="Q62" i="47"/>
  <c r="H70" i="52"/>
  <c r="D17" i="48"/>
  <c r="G61" i="52"/>
  <c r="H100" i="61" s="1"/>
  <c r="H121" i="61" s="1"/>
  <c r="P32" i="52"/>
  <c r="P34" i="52" s="1"/>
  <c r="P61" i="56"/>
  <c r="F16" i="57"/>
  <c r="G36" i="60" s="1"/>
  <c r="P11" i="57"/>
  <c r="P30" i="52"/>
  <c r="P62" i="47"/>
  <c r="E3" i="52"/>
  <c r="E67" i="52"/>
  <c r="E26" i="57"/>
  <c r="F65" i="60" s="1"/>
  <c r="E30" i="57"/>
  <c r="S57" i="52"/>
  <c r="O41" i="56"/>
  <c r="D32" i="47"/>
  <c r="D124" i="47" s="1"/>
  <c r="G3" i="52"/>
  <c r="H7" i="61" s="1"/>
  <c r="K57" i="56"/>
  <c r="N32" i="47"/>
  <c r="N124" i="47" s="1"/>
  <c r="G57" i="56"/>
  <c r="K3" i="47"/>
  <c r="N3" i="52"/>
  <c r="O7" i="61" s="1"/>
  <c r="N57" i="56"/>
  <c r="N3" i="47"/>
  <c r="N3" i="32"/>
  <c r="D44" i="57"/>
  <c r="D73" i="52"/>
  <c r="D57" i="56"/>
  <c r="N31" i="57"/>
  <c r="N67" i="52"/>
  <c r="J31" i="57"/>
  <c r="J67" i="52"/>
  <c r="F31" i="57"/>
  <c r="G77" i="60" s="1"/>
  <c r="F67" i="52"/>
  <c r="P66" i="52"/>
  <c r="P67" i="52" s="1"/>
  <c r="N101" i="52"/>
  <c r="N34" i="57"/>
  <c r="J101" i="52"/>
  <c r="J34" i="57"/>
  <c r="J44" i="57" s="1"/>
  <c r="F101" i="52"/>
  <c r="F34" i="57"/>
  <c r="J73" i="52"/>
  <c r="F95" i="52"/>
  <c r="F98" i="52"/>
  <c r="P98" i="52" s="1"/>
  <c r="Q27" i="56"/>
  <c r="Q69" i="52"/>
  <c r="Q70" i="52" s="1"/>
  <c r="P72" i="52"/>
  <c r="P73" i="52" s="1"/>
  <c r="Q72" i="52"/>
  <c r="Q73" i="52" s="1"/>
  <c r="I34" i="57"/>
  <c r="E70" i="52"/>
  <c r="M70" i="52"/>
  <c r="N73" i="52"/>
  <c r="M95" i="52"/>
  <c r="M63" i="56"/>
  <c r="R27" i="56"/>
  <c r="I31" i="57"/>
  <c r="R69" i="52"/>
  <c r="R70" i="52" s="1"/>
  <c r="Q66" i="52"/>
  <c r="Q67" i="52" s="1"/>
  <c r="S69" i="52"/>
  <c r="R72" i="52"/>
  <c r="R73" i="52" s="1"/>
  <c r="I67" i="52"/>
  <c r="E73" i="52"/>
  <c r="I73" i="52"/>
  <c r="N95" i="52"/>
  <c r="M101" i="52"/>
  <c r="Q25" i="56"/>
  <c r="M31" i="57"/>
  <c r="E44" i="57"/>
  <c r="D67" i="52"/>
  <c r="H67" i="52"/>
  <c r="L67" i="52"/>
  <c r="Q26" i="56"/>
  <c r="O72" i="52"/>
  <c r="O73" i="52" s="1"/>
  <c r="P89" i="52"/>
  <c r="N89" i="52"/>
  <c r="D61" i="52"/>
  <c r="E100" i="61" s="1"/>
  <c r="E121" i="61" s="1"/>
  <c r="H61" i="52"/>
  <c r="I100" i="61" s="1"/>
  <c r="I121" i="61" s="1"/>
  <c r="S60" i="52"/>
  <c r="H33" i="57"/>
  <c r="D33" i="57"/>
  <c r="D43" i="57" s="1"/>
  <c r="P60" i="52"/>
  <c r="P61" i="52" s="1"/>
  <c r="E29" i="56"/>
  <c r="N33" i="57"/>
  <c r="Q57" i="52"/>
  <c r="H3" i="47"/>
  <c r="I3" i="52"/>
  <c r="J7" i="61" s="1"/>
  <c r="H57" i="56"/>
  <c r="E32" i="47"/>
  <c r="E124" i="47" s="1"/>
  <c r="E57" i="56"/>
  <c r="M26" i="57"/>
  <c r="D3" i="52"/>
  <c r="E7" i="61" s="1"/>
  <c r="F26" i="57"/>
  <c r="G65" i="60" s="1"/>
  <c r="I3" i="47"/>
  <c r="P21" i="56"/>
  <c r="P57" i="52"/>
  <c r="R57" i="52"/>
  <c r="F57" i="56"/>
  <c r="J32" i="47"/>
  <c r="J124" i="47" s="1"/>
  <c r="O57" i="52"/>
  <c r="S42" i="56"/>
  <c r="P62" i="56"/>
  <c r="F34" i="52"/>
  <c r="P27" i="56"/>
  <c r="N29" i="56"/>
  <c r="P26" i="56"/>
  <c r="R26" i="56"/>
  <c r="I29" i="56"/>
  <c r="R61" i="56"/>
  <c r="P44" i="52"/>
  <c r="P46" i="52" s="1"/>
  <c r="P63" i="56"/>
  <c r="E61" i="56"/>
  <c r="P35" i="52"/>
  <c r="P37" i="52" s="1"/>
  <c r="O62" i="47"/>
  <c r="S62" i="47"/>
  <c r="M57" i="56"/>
  <c r="F3" i="47"/>
  <c r="R21" i="56"/>
  <c r="M32" i="47"/>
  <c r="M124" i="47" s="1"/>
  <c r="F3" i="52"/>
  <c r="G7" i="61" s="1"/>
  <c r="M3" i="52"/>
  <c r="N7" i="61" s="1"/>
  <c r="J3" i="47"/>
  <c r="K3" i="52"/>
  <c r="L7" i="61" s="1"/>
  <c r="D16" i="57"/>
  <c r="O30" i="52"/>
  <c r="Q21" i="56"/>
  <c r="G32" i="47"/>
  <c r="G124" i="47" s="1"/>
  <c r="H3" i="52"/>
  <c r="I7" i="61" s="1"/>
  <c r="J3" i="52"/>
  <c r="K7" i="61" s="1"/>
  <c r="Q10" i="57"/>
  <c r="Q11" i="57"/>
  <c r="R14" i="57"/>
  <c r="Q63" i="56"/>
  <c r="Q62" i="56"/>
  <c r="R62" i="56"/>
  <c r="R25" i="56"/>
  <c r="G29" i="56"/>
  <c r="P25" i="56"/>
  <c r="O27" i="56"/>
  <c r="D12" i="48"/>
  <c r="D27" i="48"/>
  <c r="F29" i="56"/>
  <c r="H29" i="56"/>
  <c r="O62" i="56"/>
  <c r="E12" i="48"/>
  <c r="B22" i="48"/>
  <c r="J59" i="56"/>
  <c r="M29" i="56"/>
  <c r="J29" i="56"/>
  <c r="Q23" i="56"/>
  <c r="R23" i="56"/>
  <c r="L29" i="56"/>
  <c r="K29" i="56"/>
  <c r="I59" i="56"/>
  <c r="B17" i="48"/>
  <c r="P23" i="56"/>
  <c r="D29" i="56"/>
  <c r="S23" i="56"/>
  <c r="C17" i="57"/>
  <c r="D44" i="60" s="1"/>
  <c r="S46" i="47"/>
  <c r="C89" i="47"/>
  <c r="S10" i="47"/>
  <c r="S75" i="47"/>
  <c r="C98" i="52"/>
  <c r="O48" i="47"/>
  <c r="C67" i="52"/>
  <c r="O20" i="57"/>
  <c r="S23" i="57"/>
  <c r="Q44" i="52"/>
  <c r="Q46" i="52" s="1"/>
  <c r="I46" i="52"/>
  <c r="R44" i="52"/>
  <c r="R46" i="52" s="1"/>
  <c r="O44" i="52"/>
  <c r="O46" i="52" s="1"/>
  <c r="D53" i="47"/>
  <c r="D17" i="52" s="1"/>
  <c r="D19" i="52" s="1"/>
  <c r="H53" i="47"/>
  <c r="H17" i="52" s="1"/>
  <c r="H100" i="52" s="1"/>
  <c r="H102" i="52" s="1"/>
  <c r="R51" i="47"/>
  <c r="L46" i="52"/>
  <c r="E53" i="47"/>
  <c r="E17" i="52" s="1"/>
  <c r="E100" i="52" s="1"/>
  <c r="Q146" i="47"/>
  <c r="P51" i="47"/>
  <c r="S52" i="47"/>
  <c r="E89" i="47"/>
  <c r="J49" i="47"/>
  <c r="N143" i="47"/>
  <c r="P48" i="47"/>
  <c r="Q142" i="47"/>
  <c r="M49" i="47"/>
  <c r="N33" i="61" s="1"/>
  <c r="P142" i="47"/>
  <c r="S48" i="47"/>
  <c r="J89" i="47"/>
  <c r="E49" i="47"/>
  <c r="Q47" i="47"/>
  <c r="H143" i="47"/>
  <c r="Q48" i="47"/>
  <c r="R142" i="47"/>
  <c r="K139" i="47"/>
  <c r="P43" i="47"/>
  <c r="Q138" i="47"/>
  <c r="J88" i="47"/>
  <c r="L88" i="47"/>
  <c r="K88" i="47"/>
  <c r="P44" i="47"/>
  <c r="R43" i="47"/>
  <c r="Q43" i="47"/>
  <c r="R44" i="47"/>
  <c r="G88" i="47"/>
  <c r="H88" i="47"/>
  <c r="O43" i="47"/>
  <c r="I37" i="52"/>
  <c r="J60" i="61" s="1"/>
  <c r="Q35" i="52"/>
  <c r="Q37" i="52" s="1"/>
  <c r="R35" i="52"/>
  <c r="R37" i="52" s="1"/>
  <c r="M37" i="52"/>
  <c r="N60" i="61" s="1"/>
  <c r="N81" i="61" s="1"/>
  <c r="F37" i="52"/>
  <c r="G60" i="61" s="1"/>
  <c r="H133" i="47"/>
  <c r="K89" i="47"/>
  <c r="Q133" i="47"/>
  <c r="O35" i="52"/>
  <c r="O37" i="52" s="1"/>
  <c r="F143" i="47"/>
  <c r="R146" i="47"/>
  <c r="R50" i="47"/>
  <c r="L53" i="47"/>
  <c r="L17" i="52" s="1"/>
  <c r="L100" i="52" s="1"/>
  <c r="D40" i="47"/>
  <c r="D132" i="47"/>
  <c r="L132" i="47"/>
  <c r="N40" i="47"/>
  <c r="N41" i="47" s="1"/>
  <c r="D45" i="47"/>
  <c r="H45" i="47"/>
  <c r="K45" i="47"/>
  <c r="F49" i="47"/>
  <c r="G53" i="47"/>
  <c r="G17" i="52" s="1"/>
  <c r="G19" i="52" s="1"/>
  <c r="F136" i="47"/>
  <c r="F139" i="47" s="1"/>
  <c r="N139" i="47"/>
  <c r="G137" i="47"/>
  <c r="L138" i="47"/>
  <c r="R138" i="47" s="1"/>
  <c r="K140" i="47"/>
  <c r="K143" i="47" s="1"/>
  <c r="E29" i="63" s="1"/>
  <c r="E142" i="47"/>
  <c r="O142" i="47" s="1"/>
  <c r="I145" i="47"/>
  <c r="Q145" i="47" s="1"/>
  <c r="M145" i="47"/>
  <c r="R145" i="47" s="1"/>
  <c r="F146" i="47"/>
  <c r="P146" i="47" s="1"/>
  <c r="S43" i="47"/>
  <c r="Q44" i="47"/>
  <c r="O52" i="47"/>
  <c r="O46" i="47"/>
  <c r="J150" i="47"/>
  <c r="O38" i="47"/>
  <c r="P46" i="47"/>
  <c r="G49" i="47"/>
  <c r="H33" i="61" s="1"/>
  <c r="R47" i="47"/>
  <c r="F53" i="47"/>
  <c r="F17" i="52" s="1"/>
  <c r="F19" i="52" s="1"/>
  <c r="P50" i="47"/>
  <c r="Q42" i="47"/>
  <c r="I136" i="47"/>
  <c r="Q136" i="47" s="1"/>
  <c r="F148" i="47"/>
  <c r="H37" i="47"/>
  <c r="H5" i="52" s="1"/>
  <c r="H88" i="52" s="1"/>
  <c r="H90" i="52" s="1"/>
  <c r="H128" i="47"/>
  <c r="P128" i="47" s="1"/>
  <c r="F40" i="47"/>
  <c r="F41" i="47" s="1"/>
  <c r="P54" i="47"/>
  <c r="G45" i="47"/>
  <c r="L45" i="47"/>
  <c r="I49" i="47"/>
  <c r="N49" i="47"/>
  <c r="E137" i="47"/>
  <c r="O137" i="47" s="1"/>
  <c r="I137" i="47"/>
  <c r="M137" i="47"/>
  <c r="R137" i="47" s="1"/>
  <c r="I140" i="47"/>
  <c r="L144" i="47"/>
  <c r="L147" i="47" s="1"/>
  <c r="G145" i="47"/>
  <c r="D146" i="47"/>
  <c r="D147" i="47" s="1"/>
  <c r="O51" i="47"/>
  <c r="R46" i="47"/>
  <c r="Q52" i="47"/>
  <c r="O42" i="47"/>
  <c r="D37" i="47"/>
  <c r="D5" i="52" s="1"/>
  <c r="D7" i="52" s="1"/>
  <c r="E18" i="61" s="1"/>
  <c r="D128" i="47"/>
  <c r="D131" i="47" s="1"/>
  <c r="C36" i="32" s="1"/>
  <c r="J51" i="52"/>
  <c r="K63" i="61" s="1"/>
  <c r="K84" i="61" s="1"/>
  <c r="J131" i="47"/>
  <c r="I36" i="32" s="1"/>
  <c r="N131" i="47"/>
  <c r="M36" i="32" s="1"/>
  <c r="L140" i="47"/>
  <c r="R140" i="47" s="1"/>
  <c r="S42" i="47"/>
  <c r="F51" i="52"/>
  <c r="O35" i="47"/>
  <c r="P36" i="47"/>
  <c r="C37" i="52"/>
  <c r="C88" i="47"/>
  <c r="P35" i="47"/>
  <c r="F37" i="47"/>
  <c r="G37" i="47"/>
  <c r="N37" i="47"/>
  <c r="L37" i="47"/>
  <c r="R35" i="47"/>
  <c r="L129" i="47"/>
  <c r="R129" i="47" s="1"/>
  <c r="G130" i="47"/>
  <c r="P130" i="47" s="1"/>
  <c r="R130" i="47"/>
  <c r="I129" i="47"/>
  <c r="I131" i="47" s="1"/>
  <c r="I37" i="47"/>
  <c r="E32" i="52"/>
  <c r="E34" i="52" s="1"/>
  <c r="F59" i="61" s="1"/>
  <c r="E88" i="47"/>
  <c r="I32" i="52"/>
  <c r="I88" i="47"/>
  <c r="N88" i="47"/>
  <c r="L34" i="52"/>
  <c r="M59" i="61" s="1"/>
  <c r="F129" i="47"/>
  <c r="P129" i="47" s="1"/>
  <c r="K129" i="47"/>
  <c r="R36" i="47"/>
  <c r="O129" i="47"/>
  <c r="E131" i="47"/>
  <c r="D36" i="32" s="1"/>
  <c r="O140" i="47"/>
  <c r="M143" i="47"/>
  <c r="J143" i="47"/>
  <c r="P138" i="47"/>
  <c r="H139" i="47"/>
  <c r="P140" i="47"/>
  <c r="G143" i="47"/>
  <c r="H147" i="47"/>
  <c r="D139" i="47"/>
  <c r="O136" i="47"/>
  <c r="N147" i="47"/>
  <c r="K147" i="47"/>
  <c r="J57" i="47"/>
  <c r="K34" i="61" s="1"/>
  <c r="K37" i="61" s="1"/>
  <c r="C53" i="47"/>
  <c r="C17" i="52" s="1"/>
  <c r="C100" i="52" s="1"/>
  <c r="C145" i="47"/>
  <c r="S51" i="47"/>
  <c r="C144" i="47"/>
  <c r="S50" i="47"/>
  <c r="I53" i="47"/>
  <c r="I17" i="52" s="1"/>
  <c r="I19" i="52" s="1"/>
  <c r="M53" i="47"/>
  <c r="M17" i="52" s="1"/>
  <c r="M19" i="52" s="1"/>
  <c r="E144" i="47"/>
  <c r="E147" i="47" s="1"/>
  <c r="Q50" i="47"/>
  <c r="N53" i="47"/>
  <c r="N17" i="52" s="1"/>
  <c r="N100" i="52" s="1"/>
  <c r="F144" i="47"/>
  <c r="J144" i="47"/>
  <c r="J147" i="47" s="1"/>
  <c r="S22" i="47"/>
  <c r="C49" i="47"/>
  <c r="D33" i="61" s="1"/>
  <c r="C141" i="47"/>
  <c r="S47" i="47"/>
  <c r="O47" i="47"/>
  <c r="S44" i="47"/>
  <c r="O138" i="47"/>
  <c r="C139" i="47"/>
  <c r="C45" i="47"/>
  <c r="O44" i="47"/>
  <c r="S18" i="47"/>
  <c r="O130" i="47"/>
  <c r="S36" i="47"/>
  <c r="C37" i="47"/>
  <c r="C5" i="52" s="1"/>
  <c r="S35" i="47"/>
  <c r="C128" i="47"/>
  <c r="S34" i="47"/>
  <c r="O34" i="47"/>
  <c r="C101" i="52"/>
  <c r="S72" i="52"/>
  <c r="C34" i="57"/>
  <c r="C44" i="57" s="1"/>
  <c r="O69" i="52"/>
  <c r="O70" i="52" s="1"/>
  <c r="O26" i="56"/>
  <c r="C95" i="52"/>
  <c r="O66" i="52"/>
  <c r="O67" i="52" s="1"/>
  <c r="C41" i="57"/>
  <c r="S66" i="52"/>
  <c r="O60" i="52"/>
  <c r="O61" i="52" s="1"/>
  <c r="C26" i="57"/>
  <c r="D65" i="60" s="1"/>
  <c r="S44" i="52"/>
  <c r="C46" i="52"/>
  <c r="O42" i="56"/>
  <c r="O25" i="56"/>
  <c r="S35" i="52"/>
  <c r="S41" i="56"/>
  <c r="S25" i="56"/>
  <c r="C29" i="56"/>
  <c r="S26" i="56"/>
  <c r="O10" i="57"/>
  <c r="S62" i="56"/>
  <c r="O21" i="56"/>
  <c r="S21" i="56"/>
  <c r="O5" i="22" s="1"/>
  <c r="C57" i="56"/>
  <c r="C32" i="47"/>
  <c r="S27" i="56"/>
  <c r="C63" i="56"/>
  <c r="O23" i="56"/>
  <c r="C59" i="56"/>
  <c r="J53" i="47"/>
  <c r="J17" i="52" s="1"/>
  <c r="O50" i="47"/>
  <c r="M44" i="57"/>
  <c r="Q14" i="57"/>
  <c r="S14" i="57"/>
  <c r="O14" i="57"/>
  <c r="R13" i="57"/>
  <c r="O13" i="57"/>
  <c r="O89" i="52"/>
  <c r="S13" i="57"/>
  <c r="R11" i="57"/>
  <c r="S11" i="57"/>
  <c r="O11" i="57"/>
  <c r="R10" i="57"/>
  <c r="P10" i="57"/>
  <c r="S10" i="57"/>
  <c r="P19" i="57"/>
  <c r="P49" i="52"/>
  <c r="BC51" i="36"/>
  <c r="C24" i="56"/>
  <c r="C8" i="48"/>
  <c r="AC54" i="36"/>
  <c r="C15" i="48"/>
  <c r="E54" i="36"/>
  <c r="E24" i="56"/>
  <c r="E8" i="22" s="1"/>
  <c r="C10" i="48"/>
  <c r="O8" i="56"/>
  <c r="S8" i="56"/>
  <c r="U54" i="36"/>
  <c r="W34" i="36"/>
  <c r="C23" i="48"/>
  <c r="L24" i="56"/>
  <c r="L8" i="22" s="1"/>
  <c r="BA34" i="36"/>
  <c r="BK34" i="36" s="1"/>
  <c r="S34" i="36"/>
  <c r="Q54" i="36"/>
  <c r="AA35" i="36"/>
  <c r="Y54" i="36"/>
  <c r="AY35" i="36"/>
  <c r="AW54" i="36"/>
  <c r="G24" i="56"/>
  <c r="G8" i="22" s="1"/>
  <c r="C14" i="48"/>
  <c r="I54" i="36"/>
  <c r="P8" i="56"/>
  <c r="F24" i="56"/>
  <c r="F8" i="22" s="1"/>
  <c r="K24" i="56"/>
  <c r="K8" i="22" s="1"/>
  <c r="C20" i="48"/>
  <c r="BA36" i="36"/>
  <c r="BK36" i="36" s="1"/>
  <c r="R8" i="56"/>
  <c r="Q8" i="56"/>
  <c r="BA39" i="36"/>
  <c r="BK39" i="36" s="1"/>
  <c r="AE34" i="36"/>
  <c r="AI34" i="36"/>
  <c r="C19" i="48"/>
  <c r="BA35" i="36"/>
  <c r="BK35" i="36" s="1"/>
  <c r="K37" i="36"/>
  <c r="BA37" i="36"/>
  <c r="BK37" i="36" s="1"/>
  <c r="F45" i="39"/>
  <c r="J45" i="39"/>
  <c r="L45" i="39"/>
  <c r="CO19" i="26"/>
  <c r="CN19" i="26"/>
  <c r="BM28" i="26"/>
  <c r="H45" i="39"/>
  <c r="I75" i="52"/>
  <c r="H76" i="52"/>
  <c r="H29" i="57"/>
  <c r="I75" i="60" s="1"/>
  <c r="F29" i="57"/>
  <c r="G75" i="60" s="1"/>
  <c r="F76" i="52"/>
  <c r="G102" i="61" s="1"/>
  <c r="D52" i="56"/>
  <c r="CN9" i="26"/>
  <c r="AA18" i="36"/>
  <c r="Z54" i="36"/>
  <c r="AP54" i="36"/>
  <c r="L29" i="57"/>
  <c r="M75" i="60" s="1"/>
  <c r="J54" i="36"/>
  <c r="F21" i="52"/>
  <c r="AM18" i="36"/>
  <c r="N52" i="56"/>
  <c r="K19" i="56"/>
  <c r="K21" i="52"/>
  <c r="K76" i="52"/>
  <c r="G18" i="36"/>
  <c r="S18" i="36"/>
  <c r="R54" i="36"/>
  <c r="AL54" i="36"/>
  <c r="L76" i="52"/>
  <c r="M102" i="61" s="1"/>
  <c r="AQ18" i="36"/>
  <c r="BB18" i="36"/>
  <c r="BL18" i="36" s="1"/>
  <c r="W18" i="36"/>
  <c r="J52" i="56"/>
  <c r="J75" i="52" s="1"/>
  <c r="J21" i="52" s="1"/>
  <c r="H21" i="52"/>
  <c r="G52" i="56"/>
  <c r="G75" i="52" s="1"/>
  <c r="P75" i="52" s="1"/>
  <c r="N54" i="36"/>
  <c r="AE18" i="36"/>
  <c r="M76" i="52"/>
  <c r="M21" i="52"/>
  <c r="M29" i="57"/>
  <c r="N75" i="60" s="1"/>
  <c r="L21" i="52"/>
  <c r="CM28" i="26"/>
  <c r="AD28" i="26"/>
  <c r="AC28" i="26"/>
  <c r="F12" i="56" s="1"/>
  <c r="F28" i="56" s="1"/>
  <c r="F6" i="22" s="1"/>
  <c r="F4" i="22" s="1"/>
  <c r="CN22" i="26"/>
  <c r="CL28" i="26"/>
  <c r="AQ28" i="26"/>
  <c r="H12" i="56" s="1"/>
  <c r="F15" i="48" s="1"/>
  <c r="BZ28" i="26"/>
  <c r="M12" i="56" s="1"/>
  <c r="L46" i="39" s="1"/>
  <c r="V28" i="26"/>
  <c r="E12" i="56" s="1"/>
  <c r="D46" i="39" s="1"/>
  <c r="H28" i="26"/>
  <c r="C12" i="56" s="1"/>
  <c r="C28" i="56" s="1"/>
  <c r="C6" i="22" s="1"/>
  <c r="C4" i="22" s="1"/>
  <c r="P28" i="26"/>
  <c r="W28" i="26"/>
  <c r="AY28" i="26"/>
  <c r="BF28" i="26"/>
  <c r="BT28" i="26"/>
  <c r="CH28" i="26"/>
  <c r="BL28" i="26"/>
  <c r="K12" i="56" s="1"/>
  <c r="K28" i="56" s="1"/>
  <c r="K6" i="22" s="1"/>
  <c r="K4" i="22" s="1"/>
  <c r="AX28" i="26"/>
  <c r="I12" i="56" s="1"/>
  <c r="F18" i="48" s="1"/>
  <c r="D45" i="39"/>
  <c r="N15" i="32"/>
  <c r="B18" i="32"/>
  <c r="AR28" i="26"/>
  <c r="CA28" i="26"/>
  <c r="CN23" i="26"/>
  <c r="BE28" i="26"/>
  <c r="J12" i="56" s="1"/>
  <c r="C17" i="32"/>
  <c r="N17" i="32" s="1"/>
  <c r="CO22" i="26"/>
  <c r="AK28" i="26"/>
  <c r="BS28" i="26"/>
  <c r="L12" i="56" s="1"/>
  <c r="O28" i="26"/>
  <c r="D12" i="56" s="1"/>
  <c r="CJ28" i="26"/>
  <c r="I28" i="26"/>
  <c r="I45" i="39"/>
  <c r="AJ28" i="26"/>
  <c r="G12" i="56" s="1"/>
  <c r="CN24" i="26"/>
  <c r="CG28" i="26"/>
  <c r="N12" i="56" s="1"/>
  <c r="K41" i="47" l="1"/>
  <c r="Q134" i="47"/>
  <c r="J41" i="47"/>
  <c r="J59" i="47" s="1"/>
  <c r="Q40" i="47"/>
  <c r="I135" i="47"/>
  <c r="H43" i="32" s="1"/>
  <c r="G135" i="47"/>
  <c r="F43" i="32" s="1"/>
  <c r="M135" i="47"/>
  <c r="L43" i="32" s="1"/>
  <c r="C135" i="47"/>
  <c r="B43" i="32" s="1"/>
  <c r="C41" i="47"/>
  <c r="C59" i="47" s="1"/>
  <c r="E41" i="47"/>
  <c r="E8" i="52" s="1"/>
  <c r="E12" i="62"/>
  <c r="BC19" i="36"/>
  <c r="BM19" i="36" s="1"/>
  <c r="BC39" i="36"/>
  <c r="BM39" i="36" s="1"/>
  <c r="L41" i="47"/>
  <c r="L59" i="47" s="1"/>
  <c r="BC45" i="36"/>
  <c r="BK45" i="36" s="1"/>
  <c r="BC50" i="36"/>
  <c r="BK50" i="36" s="1"/>
  <c r="BC26" i="36"/>
  <c r="BM26" i="36" s="1"/>
  <c r="BC20" i="36"/>
  <c r="BM20" i="36" s="1"/>
  <c r="BC13" i="36"/>
  <c r="BM13" i="36" s="1"/>
  <c r="BC49" i="36"/>
  <c r="BK49" i="36" s="1"/>
  <c r="G13" i="32"/>
  <c r="BK30" i="36"/>
  <c r="BK29" i="36"/>
  <c r="G21" i="61"/>
  <c r="G42" i="61" s="1"/>
  <c r="C39" i="32"/>
  <c r="F22" i="63"/>
  <c r="C46" i="32"/>
  <c r="E22" i="63"/>
  <c r="B39" i="32"/>
  <c r="F21" i="63"/>
  <c r="BC43" i="36"/>
  <c r="BM43" i="36" s="1"/>
  <c r="BC32" i="36"/>
  <c r="BM32" i="36" s="1"/>
  <c r="BC40" i="36"/>
  <c r="BM40" i="36" s="1"/>
  <c r="V45" i="42"/>
  <c r="BC29" i="36"/>
  <c r="BM29" i="36" s="1"/>
  <c r="BM46" i="36"/>
  <c r="BM51" i="36"/>
  <c r="BM44" i="36"/>
  <c r="BC38" i="36"/>
  <c r="BM38" i="36" s="1"/>
  <c r="BC30" i="36"/>
  <c r="BM30" i="36" s="1"/>
  <c r="BC36" i="36"/>
  <c r="BM36" i="36" s="1"/>
  <c r="BC14" i="36"/>
  <c r="BM14" i="36" s="1"/>
  <c r="BM48" i="36"/>
  <c r="BC31" i="36"/>
  <c r="BM31" i="36" s="1"/>
  <c r="BK51" i="36"/>
  <c r="BC44" i="36"/>
  <c r="BK44" i="36" s="1"/>
  <c r="BC21" i="36"/>
  <c r="BM21" i="36" s="1"/>
  <c r="BC41" i="36"/>
  <c r="BM41" i="36" s="1"/>
  <c r="BC15" i="36"/>
  <c r="BM15" i="36" s="1"/>
  <c r="BC37" i="36"/>
  <c r="BM37" i="36" s="1"/>
  <c r="BC27" i="36"/>
  <c r="BM27" i="36" s="1"/>
  <c r="BC48" i="36"/>
  <c r="BC46" i="36"/>
  <c r="BK46" i="36" s="1"/>
  <c r="BC33" i="36"/>
  <c r="BM33" i="36" s="1"/>
  <c r="BC42" i="36"/>
  <c r="BM42" i="36" s="1"/>
  <c r="BC28" i="36"/>
  <c r="BM28" i="36" s="1"/>
  <c r="H135" i="47"/>
  <c r="G43" i="32" s="1"/>
  <c r="H41" i="47"/>
  <c r="H59" i="47" s="1"/>
  <c r="M39" i="32"/>
  <c r="N22" i="22" s="1"/>
  <c r="M24" i="39" s="1"/>
  <c r="F32" i="63"/>
  <c r="M46" i="32"/>
  <c r="E32" i="63"/>
  <c r="L46" i="32"/>
  <c r="E31" i="63"/>
  <c r="J39" i="32"/>
  <c r="K22" i="22" s="1"/>
  <c r="J24" i="39" s="1"/>
  <c r="F29" i="63"/>
  <c r="I39" i="32"/>
  <c r="J22" i="22" s="1"/>
  <c r="I24" i="39" s="1"/>
  <c r="F28" i="63"/>
  <c r="I46" i="32"/>
  <c r="E28" i="63"/>
  <c r="Q14" i="47"/>
  <c r="O7" i="22"/>
  <c r="K14" i="62"/>
  <c r="K16" i="62" s="1"/>
  <c r="G39" i="32"/>
  <c r="F26" i="63"/>
  <c r="G46" i="32"/>
  <c r="E26" i="63"/>
  <c r="F46" i="32"/>
  <c r="E25" i="63"/>
  <c r="G14" i="62"/>
  <c r="G16" i="62" s="1"/>
  <c r="E39" i="32"/>
  <c r="F24" i="63"/>
  <c r="E46" i="32"/>
  <c r="E24" i="63"/>
  <c r="P19" i="56"/>
  <c r="E17" i="62"/>
  <c r="E14" i="62"/>
  <c r="E16" i="62" s="1"/>
  <c r="O11" i="62"/>
  <c r="G65" i="56"/>
  <c r="N65" i="56"/>
  <c r="D65" i="56"/>
  <c r="P59" i="56"/>
  <c r="L65" i="56"/>
  <c r="M65" i="56"/>
  <c r="F65" i="56"/>
  <c r="L84" i="52"/>
  <c r="K65" i="56"/>
  <c r="Q55" i="56"/>
  <c r="H55" i="52"/>
  <c r="H65" i="56"/>
  <c r="L6" i="57"/>
  <c r="M7" i="60" s="1"/>
  <c r="R43" i="56"/>
  <c r="O3" i="47"/>
  <c r="G90" i="47"/>
  <c r="D90" i="47"/>
  <c r="L90" i="47"/>
  <c r="M90" i="47"/>
  <c r="P43" i="56"/>
  <c r="J90" i="47"/>
  <c r="E90" i="47"/>
  <c r="R59" i="56"/>
  <c r="I90" i="47"/>
  <c r="J55" i="52"/>
  <c r="T127" i="47"/>
  <c r="K90" i="47"/>
  <c r="P55" i="56"/>
  <c r="R55" i="56"/>
  <c r="H90" i="47"/>
  <c r="N90" i="47"/>
  <c r="F90" i="47"/>
  <c r="O43" i="56"/>
  <c r="C90" i="47"/>
  <c r="S89" i="47"/>
  <c r="O55" i="56"/>
  <c r="C12" i="62"/>
  <c r="O12" i="62" s="1"/>
  <c r="T48" i="56"/>
  <c r="J60" i="56"/>
  <c r="J66" i="56" s="1"/>
  <c r="J8" i="22"/>
  <c r="I60" i="56"/>
  <c r="I8" i="22"/>
  <c r="M30" i="56"/>
  <c r="M31" i="56" s="1"/>
  <c r="M8" i="22"/>
  <c r="D30" i="56"/>
  <c r="D31" i="56" s="1"/>
  <c r="D8" i="22"/>
  <c r="H30" i="56"/>
  <c r="H31" i="56" s="1"/>
  <c r="H8" i="22"/>
  <c r="N60" i="56"/>
  <c r="N66" i="56" s="1"/>
  <c r="N8" i="22"/>
  <c r="T26" i="56"/>
  <c r="C30" i="56"/>
  <c r="C31" i="56" s="1"/>
  <c r="C8" i="22"/>
  <c r="S43" i="56"/>
  <c r="T25" i="56"/>
  <c r="T23" i="56"/>
  <c r="T27" i="56"/>
  <c r="G55" i="52"/>
  <c r="D55" i="52"/>
  <c r="T79" i="47"/>
  <c r="T71" i="47"/>
  <c r="T87" i="47"/>
  <c r="T67" i="47"/>
  <c r="T83" i="47"/>
  <c r="T75" i="47"/>
  <c r="P14" i="47"/>
  <c r="I14" i="62"/>
  <c r="I16" i="62" s="1"/>
  <c r="H106" i="52"/>
  <c r="G8" i="32" s="1"/>
  <c r="G32" i="32" s="1"/>
  <c r="S141" i="47"/>
  <c r="O141" i="47"/>
  <c r="O143" i="47" s="1"/>
  <c r="G151" i="47"/>
  <c r="D25" i="63" s="1"/>
  <c r="C106" i="52"/>
  <c r="B8" i="32" s="1"/>
  <c r="B32" i="32" s="1"/>
  <c r="BC17" i="36"/>
  <c r="BM17" i="36" s="1"/>
  <c r="AY54" i="36"/>
  <c r="BC23" i="36"/>
  <c r="BM23" i="36" s="1"/>
  <c r="I106" i="52"/>
  <c r="H8" i="32" s="1"/>
  <c r="H32" i="32" s="1"/>
  <c r="Q149" i="47"/>
  <c r="Q12" i="62"/>
  <c r="J17" i="62"/>
  <c r="Q17" i="62" s="1"/>
  <c r="R14" i="47"/>
  <c r="D14" i="62"/>
  <c r="D16" i="62" s="1"/>
  <c r="N14" i="62"/>
  <c r="N16" i="62" s="1"/>
  <c r="P11" i="62"/>
  <c r="F12" i="62"/>
  <c r="R10" i="62"/>
  <c r="S10" i="62" s="1"/>
  <c r="U10" i="62" s="1"/>
  <c r="V10" i="62" s="1"/>
  <c r="L12" i="62"/>
  <c r="L14" i="62" s="1"/>
  <c r="Q11" i="62"/>
  <c r="H14" i="62"/>
  <c r="H16" i="62" s="1"/>
  <c r="J14" i="62"/>
  <c r="J16" i="62" s="1"/>
  <c r="P133" i="47"/>
  <c r="O14" i="47"/>
  <c r="R19" i="56"/>
  <c r="M79" i="52"/>
  <c r="N102" i="61"/>
  <c r="M105" i="61"/>
  <c r="M123" i="61"/>
  <c r="M126" i="61" s="1"/>
  <c r="R13" i="62"/>
  <c r="K79" i="52"/>
  <c r="L102" i="61"/>
  <c r="AM54" i="36"/>
  <c r="J54" i="39" s="1"/>
  <c r="J55" i="39" s="1"/>
  <c r="J13" i="32"/>
  <c r="I12" i="32"/>
  <c r="I13" i="32" s="1"/>
  <c r="Q13" i="62"/>
  <c r="J151" i="47"/>
  <c r="D28" i="63" s="1"/>
  <c r="BC24" i="36"/>
  <c r="BM24" i="36" s="1"/>
  <c r="H12" i="32"/>
  <c r="H13" i="32" s="1"/>
  <c r="Q150" i="47"/>
  <c r="H79" i="52"/>
  <c r="I102" i="61"/>
  <c r="G50" i="39"/>
  <c r="H151" i="47"/>
  <c r="D26" i="63" s="1"/>
  <c r="F12" i="32"/>
  <c r="F13" i="32" s="1"/>
  <c r="P150" i="47"/>
  <c r="G123" i="61"/>
  <c r="G126" i="61" s="1"/>
  <c r="G105" i="61"/>
  <c r="F149" i="47"/>
  <c r="E11" i="32" s="1"/>
  <c r="P55" i="47"/>
  <c r="P13" i="62"/>
  <c r="S55" i="47"/>
  <c r="D13" i="32"/>
  <c r="O54" i="36"/>
  <c r="D54" i="39" s="1"/>
  <c r="D55" i="39" s="1"/>
  <c r="D56" i="39" s="1"/>
  <c r="E79" i="52"/>
  <c r="F102" i="61"/>
  <c r="BC16" i="36"/>
  <c r="BM16" i="36" s="1"/>
  <c r="O19" i="56"/>
  <c r="O55" i="47"/>
  <c r="BC22" i="36"/>
  <c r="BM22" i="36" s="1"/>
  <c r="O13" i="62"/>
  <c r="C79" i="52"/>
  <c r="D102" i="61"/>
  <c r="N151" i="47"/>
  <c r="D32" i="63" s="1"/>
  <c r="M10" i="32"/>
  <c r="M13" i="32" s="1"/>
  <c r="E10" i="32"/>
  <c r="E8" i="32"/>
  <c r="E32" i="32" s="1"/>
  <c r="Q36" i="60"/>
  <c r="F80" i="61"/>
  <c r="S7" i="61"/>
  <c r="Q41" i="52"/>
  <c r="Q43" i="52" s="1"/>
  <c r="Q54" i="52" s="1"/>
  <c r="R65" i="60"/>
  <c r="S38" i="52"/>
  <c r="S74" i="61"/>
  <c r="M81" i="61"/>
  <c r="O41" i="52"/>
  <c r="O43" i="52" s="1"/>
  <c r="O54" i="52" s="1"/>
  <c r="P38" i="52"/>
  <c r="P40" i="52" s="1"/>
  <c r="C40" i="52"/>
  <c r="C53" i="52" s="1"/>
  <c r="Q38" i="52"/>
  <c r="Q40" i="52" s="1"/>
  <c r="S100" i="61"/>
  <c r="S121" i="61" s="1"/>
  <c r="S73" i="61"/>
  <c r="T91" i="61"/>
  <c r="N44" i="39"/>
  <c r="C54" i="52"/>
  <c r="D60" i="61"/>
  <c r="G81" i="61"/>
  <c r="Q60" i="61"/>
  <c r="G106" i="52"/>
  <c r="H21" i="61"/>
  <c r="H42" i="61" s="1"/>
  <c r="O37" i="61"/>
  <c r="J106" i="52"/>
  <c r="K21" i="61"/>
  <c r="K42" i="61" s="1"/>
  <c r="I52" i="52"/>
  <c r="J63" i="61"/>
  <c r="K11" i="52"/>
  <c r="K94" i="52" s="1"/>
  <c r="K96" i="52" s="1"/>
  <c r="F13" i="63" s="1"/>
  <c r="L32" i="61"/>
  <c r="E6" i="57"/>
  <c r="F7" i="60" s="1"/>
  <c r="F7" i="61"/>
  <c r="J121" i="61"/>
  <c r="R100" i="61"/>
  <c r="R121" i="61" s="1"/>
  <c r="L14" i="52"/>
  <c r="L97" i="52" s="1"/>
  <c r="L99" i="52" s="1"/>
  <c r="M33" i="61"/>
  <c r="M11" i="52"/>
  <c r="M13" i="52" s="1"/>
  <c r="N32" i="61"/>
  <c r="H52" i="52"/>
  <c r="I63" i="61"/>
  <c r="I84" i="61" s="1"/>
  <c r="E82" i="61"/>
  <c r="L82" i="61"/>
  <c r="J78" i="61"/>
  <c r="R78" i="61" s="1"/>
  <c r="R75" i="61"/>
  <c r="S91" i="61"/>
  <c r="P59" i="61"/>
  <c r="O38" i="52"/>
  <c r="O40" i="52" s="1"/>
  <c r="F52" i="52"/>
  <c r="G63" i="61"/>
  <c r="G64" i="61" s="1"/>
  <c r="L11" i="52"/>
  <c r="M32" i="61"/>
  <c r="H11" i="52"/>
  <c r="I32" i="61"/>
  <c r="E14" i="52"/>
  <c r="E16" i="52" s="1"/>
  <c r="F33" i="61"/>
  <c r="Q7" i="61"/>
  <c r="R7" i="61"/>
  <c r="P41" i="52"/>
  <c r="P43" i="52" s="1"/>
  <c r="P54" i="52" s="1"/>
  <c r="G122" i="61"/>
  <c r="Q101" i="61"/>
  <c r="Q122" i="61" s="1"/>
  <c r="F11" i="52"/>
  <c r="F13" i="52" s="1"/>
  <c r="G32" i="61"/>
  <c r="N11" i="52"/>
  <c r="N94" i="52" s="1"/>
  <c r="N96" i="52" s="1"/>
  <c r="O32" i="61"/>
  <c r="D14" i="52"/>
  <c r="D16" i="52" s="1"/>
  <c r="E33" i="61"/>
  <c r="K14" i="52"/>
  <c r="K16" i="52" s="1"/>
  <c r="L33" i="61"/>
  <c r="D106" i="52"/>
  <c r="E21" i="61"/>
  <c r="E42" i="61" s="1"/>
  <c r="E106" i="52"/>
  <c r="F21" i="61"/>
  <c r="F42" i="61" s="1"/>
  <c r="L52" i="52"/>
  <c r="M63" i="61"/>
  <c r="M64" i="61" s="1"/>
  <c r="G82" i="61"/>
  <c r="Q61" i="61"/>
  <c r="K64" i="61"/>
  <c r="K82" i="61"/>
  <c r="K85" i="61" s="1"/>
  <c r="O82" i="61"/>
  <c r="S60" i="61"/>
  <c r="Q74" i="61"/>
  <c r="Q73" i="61"/>
  <c r="P74" i="61"/>
  <c r="T74" i="61"/>
  <c r="J82" i="61"/>
  <c r="R61" i="61"/>
  <c r="R74" i="61"/>
  <c r="R73" i="61"/>
  <c r="N14" i="52"/>
  <c r="N16" i="52" s="1"/>
  <c r="O33" i="61"/>
  <c r="F14" i="52"/>
  <c r="F16" i="52" s="1"/>
  <c r="G33" i="61"/>
  <c r="D122" i="61"/>
  <c r="P101" i="61"/>
  <c r="P122" i="61" s="1"/>
  <c r="K106" i="52"/>
  <c r="L21" i="61"/>
  <c r="L42" i="61" s="1"/>
  <c r="M106" i="52"/>
  <c r="N21" i="61"/>
  <c r="N42" i="61" s="1"/>
  <c r="D52" i="52"/>
  <c r="E63" i="61"/>
  <c r="E84" i="61" s="1"/>
  <c r="G52" i="52"/>
  <c r="H63" i="61"/>
  <c r="H84" i="61" s="1"/>
  <c r="S75" i="61"/>
  <c r="M78" i="61"/>
  <c r="S78" i="61" s="1"/>
  <c r="P73" i="61"/>
  <c r="T73" i="61"/>
  <c r="I14" i="52"/>
  <c r="I97" i="52" s="1"/>
  <c r="I99" i="52" s="1"/>
  <c r="J33" i="61"/>
  <c r="F53" i="52"/>
  <c r="P53" i="52" s="1"/>
  <c r="G59" i="61"/>
  <c r="E52" i="52"/>
  <c r="F63" i="61"/>
  <c r="F84" i="61" s="1"/>
  <c r="D37" i="61"/>
  <c r="K52" i="52"/>
  <c r="L63" i="61"/>
  <c r="L84" i="61" s="1"/>
  <c r="I82" i="61"/>
  <c r="S61" i="61"/>
  <c r="M82" i="61"/>
  <c r="F82" i="61"/>
  <c r="C11" i="52"/>
  <c r="C94" i="52" s="1"/>
  <c r="C96" i="52" s="1"/>
  <c r="D32" i="61"/>
  <c r="S59" i="61"/>
  <c r="M80" i="61"/>
  <c r="G11" i="52"/>
  <c r="G13" i="52" s="1"/>
  <c r="H32" i="61"/>
  <c r="D11" i="52"/>
  <c r="D94" i="52" s="1"/>
  <c r="D96" i="52" s="1"/>
  <c r="E32" i="61"/>
  <c r="E39" i="61" s="1"/>
  <c r="J81" i="61"/>
  <c r="R60" i="61"/>
  <c r="J14" i="52"/>
  <c r="J97" i="52" s="1"/>
  <c r="K33" i="61"/>
  <c r="J122" i="61"/>
  <c r="C84" i="52"/>
  <c r="D7" i="61"/>
  <c r="R38" i="52"/>
  <c r="R40" i="52" s="1"/>
  <c r="D121" i="61"/>
  <c r="P100" i="61"/>
  <c r="P121" i="61" s="1"/>
  <c r="T100" i="61"/>
  <c r="T121" i="61" s="1"/>
  <c r="I11" i="52"/>
  <c r="I13" i="52" s="1"/>
  <c r="J32" i="61"/>
  <c r="J11" i="52"/>
  <c r="J94" i="52" s="1"/>
  <c r="J96" i="52" s="1"/>
  <c r="K32" i="61"/>
  <c r="H14" i="52"/>
  <c r="H97" i="52" s="1"/>
  <c r="H99" i="52" s="1"/>
  <c r="I33" i="61"/>
  <c r="E11" i="52"/>
  <c r="E94" i="52" s="1"/>
  <c r="E96" i="52" s="1"/>
  <c r="F32" i="61"/>
  <c r="Q100" i="61"/>
  <c r="Q121" i="61" s="1"/>
  <c r="G121" i="61"/>
  <c r="N106" i="52"/>
  <c r="O21" i="61"/>
  <c r="O42" i="61" s="1"/>
  <c r="L106" i="52"/>
  <c r="M21" i="61"/>
  <c r="N52" i="52"/>
  <c r="O63" i="61"/>
  <c r="O84" i="61" s="1"/>
  <c r="M52" i="52"/>
  <c r="N63" i="61"/>
  <c r="N84" i="61" s="1"/>
  <c r="G78" i="61"/>
  <c r="Q78" i="61" s="1"/>
  <c r="Q75" i="61"/>
  <c r="H82" i="61"/>
  <c r="N82" i="61"/>
  <c r="D42" i="61"/>
  <c r="J42" i="61"/>
  <c r="D80" i="61"/>
  <c r="P65" i="60"/>
  <c r="I41" i="57"/>
  <c r="J77" i="60"/>
  <c r="I40" i="57"/>
  <c r="J76" i="60"/>
  <c r="O16" i="57"/>
  <c r="E36" i="60"/>
  <c r="M41" i="57"/>
  <c r="N77" i="60"/>
  <c r="E40" i="57"/>
  <c r="F76" i="60"/>
  <c r="M40" i="57"/>
  <c r="N76" i="60"/>
  <c r="R26" i="57"/>
  <c r="N65" i="60"/>
  <c r="S65" i="60" s="1"/>
  <c r="S36" i="60"/>
  <c r="G41" i="57"/>
  <c r="H77" i="60"/>
  <c r="G40" i="57"/>
  <c r="H76" i="60"/>
  <c r="H40" i="57"/>
  <c r="I76" i="60"/>
  <c r="C40" i="57"/>
  <c r="D76" i="60"/>
  <c r="L40" i="57"/>
  <c r="M76" i="60"/>
  <c r="K40" i="57"/>
  <c r="L76" i="60"/>
  <c r="D41" i="57"/>
  <c r="E77" i="60"/>
  <c r="J41" i="57"/>
  <c r="K77" i="60"/>
  <c r="D40" i="57"/>
  <c r="E76" i="60"/>
  <c r="F40" i="57"/>
  <c r="G76" i="60"/>
  <c r="Q65" i="60"/>
  <c r="N41" i="57"/>
  <c r="O77" i="60"/>
  <c r="L41" i="57"/>
  <c r="M77" i="60"/>
  <c r="H41" i="57"/>
  <c r="I77" i="60"/>
  <c r="R36" i="60"/>
  <c r="J40" i="57"/>
  <c r="K76" i="60"/>
  <c r="J49" i="39"/>
  <c r="K151" i="47"/>
  <c r="D29" i="63" s="1"/>
  <c r="K49" i="39"/>
  <c r="D49" i="39"/>
  <c r="E151" i="47"/>
  <c r="D23" i="63" s="1"/>
  <c r="H49" i="39"/>
  <c r="I151" i="47"/>
  <c r="D27" i="63" s="1"/>
  <c r="R51" i="52"/>
  <c r="R52" i="52" s="1"/>
  <c r="Q51" i="52"/>
  <c r="Q52" i="52" s="1"/>
  <c r="AI54" i="36"/>
  <c r="I54" i="39" s="1"/>
  <c r="I55" i="39" s="1"/>
  <c r="G21" i="52"/>
  <c r="G22" i="52" s="1"/>
  <c r="H20" i="61" s="1"/>
  <c r="J65" i="56"/>
  <c r="S61" i="56"/>
  <c r="E104" i="52"/>
  <c r="R63" i="56"/>
  <c r="I57" i="47"/>
  <c r="J34" i="61" s="1"/>
  <c r="G57" i="47"/>
  <c r="H34" i="61" s="1"/>
  <c r="H37" i="61" s="1"/>
  <c r="R38" i="47"/>
  <c r="P38" i="47"/>
  <c r="L57" i="47"/>
  <c r="M34" i="61" s="1"/>
  <c r="R132" i="47"/>
  <c r="M27" i="48"/>
  <c r="M32" i="57"/>
  <c r="M41" i="47"/>
  <c r="M59" i="47" s="1"/>
  <c r="AQ54" i="36"/>
  <c r="S14" i="47"/>
  <c r="Q38" i="47"/>
  <c r="I41" i="47"/>
  <c r="I8" i="52" s="1"/>
  <c r="I10" i="52" s="1"/>
  <c r="J19" i="61" s="1"/>
  <c r="Q132" i="47"/>
  <c r="Q135" i="47" s="1"/>
  <c r="W54" i="36"/>
  <c r="S38" i="47"/>
  <c r="BC25" i="36"/>
  <c r="BM25" i="36" s="1"/>
  <c r="P132" i="47"/>
  <c r="G41" i="47"/>
  <c r="G8" i="52" s="1"/>
  <c r="R54" i="47"/>
  <c r="R23" i="52"/>
  <c r="Q23" i="52"/>
  <c r="Q52" i="56"/>
  <c r="Q148" i="47"/>
  <c r="S56" i="47"/>
  <c r="Q56" i="47"/>
  <c r="P56" i="47"/>
  <c r="E46" i="39"/>
  <c r="E9" i="57"/>
  <c r="E57" i="47"/>
  <c r="F34" i="61" s="1"/>
  <c r="F37" i="61" s="1"/>
  <c r="O23" i="52"/>
  <c r="S23" i="52"/>
  <c r="C148" i="47"/>
  <c r="O39" i="47"/>
  <c r="D133" i="47"/>
  <c r="M148" i="47"/>
  <c r="L10" i="32" s="1"/>
  <c r="L13" i="32" s="1"/>
  <c r="R30" i="47"/>
  <c r="K50" i="39"/>
  <c r="R149" i="47"/>
  <c r="R56" i="47"/>
  <c r="L150" i="47"/>
  <c r="Q30" i="47"/>
  <c r="Q54" i="47"/>
  <c r="G46" i="39"/>
  <c r="P23" i="52"/>
  <c r="P30" i="47"/>
  <c r="F57" i="47"/>
  <c r="G34" i="61" s="1"/>
  <c r="BB54" i="36"/>
  <c r="BL54" i="36" s="1"/>
  <c r="O149" i="47"/>
  <c r="O27" i="47"/>
  <c r="O30" i="47" s="1"/>
  <c r="S27" i="47"/>
  <c r="D30" i="47"/>
  <c r="D54" i="47"/>
  <c r="S103" i="52"/>
  <c r="O103" i="52"/>
  <c r="E12" i="57"/>
  <c r="E42" i="57" s="1"/>
  <c r="E102" i="52"/>
  <c r="M9" i="52"/>
  <c r="M12" i="57" s="1"/>
  <c r="M12" i="48"/>
  <c r="R33" i="47"/>
  <c r="S33" i="47"/>
  <c r="E139" i="47"/>
  <c r="M58" i="47"/>
  <c r="S146" i="47"/>
  <c r="O98" i="52"/>
  <c r="S41" i="52"/>
  <c r="R41" i="52"/>
  <c r="R43" i="52" s="1"/>
  <c r="R54" i="52" s="1"/>
  <c r="P136" i="47"/>
  <c r="Q16" i="57"/>
  <c r="M131" i="47"/>
  <c r="L36" i="32" s="1"/>
  <c r="N30" i="56"/>
  <c r="N31" i="56" s="1"/>
  <c r="O132" i="47"/>
  <c r="S138" i="47"/>
  <c r="I147" i="47"/>
  <c r="S136" i="47"/>
  <c r="K131" i="47"/>
  <c r="J36" i="32" s="1"/>
  <c r="N53" i="52"/>
  <c r="N55" i="52" s="1"/>
  <c r="D17" i="57"/>
  <c r="K32" i="57"/>
  <c r="K64" i="52"/>
  <c r="M5" i="52"/>
  <c r="M7" i="52" s="1"/>
  <c r="N18" i="61" s="1"/>
  <c r="S140" i="47"/>
  <c r="K59" i="47"/>
  <c r="I28" i="48"/>
  <c r="Q37" i="47"/>
  <c r="Q49" i="47"/>
  <c r="P45" i="47"/>
  <c r="P143" i="47"/>
  <c r="P49" i="47"/>
  <c r="P53" i="47"/>
  <c r="E58" i="47"/>
  <c r="R49" i="47"/>
  <c r="R88" i="47"/>
  <c r="R90" i="47" s="1"/>
  <c r="K58" i="47"/>
  <c r="S132" i="47"/>
  <c r="K135" i="47"/>
  <c r="J43" i="32" s="1"/>
  <c r="E5" i="52"/>
  <c r="E7" i="52" s="1"/>
  <c r="F18" i="61" s="1"/>
  <c r="N152" i="47"/>
  <c r="M147" i="47"/>
  <c r="R144" i="47"/>
  <c r="R147" i="47" s="1"/>
  <c r="L143" i="47"/>
  <c r="E143" i="47"/>
  <c r="F59" i="47"/>
  <c r="L139" i="47"/>
  <c r="Q45" i="47"/>
  <c r="Q137" i="47"/>
  <c r="Q139" i="47" s="1"/>
  <c r="R45" i="47"/>
  <c r="M139" i="47"/>
  <c r="P37" i="47"/>
  <c r="J58" i="47"/>
  <c r="Q129" i="47"/>
  <c r="Q131" i="47" s="1"/>
  <c r="K5" i="52"/>
  <c r="K88" i="52" s="1"/>
  <c r="K90" i="52" s="1"/>
  <c r="H20" i="48" s="1"/>
  <c r="J20" i="48" s="1"/>
  <c r="L131" i="47"/>
  <c r="K36" i="32" s="1"/>
  <c r="M60" i="56"/>
  <c r="G81" i="52"/>
  <c r="F81" i="52"/>
  <c r="Q4" i="56"/>
  <c r="I30" i="56"/>
  <c r="I31" i="56" s="1"/>
  <c r="O32" i="57"/>
  <c r="Q98" i="52"/>
  <c r="Q26" i="57"/>
  <c r="S54" i="56"/>
  <c r="D81" i="52"/>
  <c r="C92" i="52"/>
  <c r="R101" i="52"/>
  <c r="O31" i="57"/>
  <c r="O41" i="57" s="1"/>
  <c r="R30" i="57"/>
  <c r="R40" i="57" s="1"/>
  <c r="K92" i="52"/>
  <c r="K12" i="57"/>
  <c r="D60" i="56"/>
  <c r="O95" i="52"/>
  <c r="H12" i="57"/>
  <c r="H42" i="57" s="1"/>
  <c r="C12" i="48"/>
  <c r="J30" i="56"/>
  <c r="J31" i="56" s="1"/>
  <c r="N40" i="57"/>
  <c r="Q101" i="52"/>
  <c r="P30" i="57"/>
  <c r="P40" i="57" s="1"/>
  <c r="Q57" i="56"/>
  <c r="C27" i="48"/>
  <c r="O81" i="52"/>
  <c r="P34" i="57"/>
  <c r="P44" i="57" s="1"/>
  <c r="S30" i="57"/>
  <c r="N64" i="52"/>
  <c r="O101" i="61" s="1"/>
  <c r="O122" i="61" s="1"/>
  <c r="N9" i="52"/>
  <c r="N8" i="52" s="1"/>
  <c r="N91" i="52" s="1"/>
  <c r="O101" i="52"/>
  <c r="Q33" i="57"/>
  <c r="Q43" i="57" s="1"/>
  <c r="Q24" i="56"/>
  <c r="Q30" i="56" s="1"/>
  <c r="C17" i="48"/>
  <c r="C58" i="47"/>
  <c r="N102" i="52"/>
  <c r="P16" i="57"/>
  <c r="J43" i="57"/>
  <c r="Q34" i="56"/>
  <c r="S101" i="52"/>
  <c r="H60" i="56"/>
  <c r="C6" i="57"/>
  <c r="C18" i="57"/>
  <c r="D45" i="60" s="1"/>
  <c r="S49" i="47"/>
  <c r="C102" i="52"/>
  <c r="O3" i="52"/>
  <c r="E41" i="57"/>
  <c r="P95" i="52"/>
  <c r="M80" i="52"/>
  <c r="L32" i="57"/>
  <c r="L9" i="52"/>
  <c r="R63" i="52"/>
  <c r="R64" i="52" s="1"/>
  <c r="R81" i="52" s="1"/>
  <c r="L64" i="52"/>
  <c r="M101" i="61" s="1"/>
  <c r="P101" i="52"/>
  <c r="C14" i="52"/>
  <c r="C97" i="52" s="1"/>
  <c r="C99" i="52" s="1"/>
  <c r="E65" i="56"/>
  <c r="K80" i="52"/>
  <c r="R16" i="57"/>
  <c r="J9" i="52"/>
  <c r="Q9" i="52" s="1"/>
  <c r="J64" i="52"/>
  <c r="K101" i="61" s="1"/>
  <c r="K122" i="61" s="1"/>
  <c r="J32" i="57"/>
  <c r="D92" i="52"/>
  <c r="D12" i="57"/>
  <c r="Q63" i="52"/>
  <c r="Q64" i="52" s="1"/>
  <c r="Q81" i="52" s="1"/>
  <c r="G92" i="52"/>
  <c r="P92" i="52" s="1"/>
  <c r="G12" i="57"/>
  <c r="E84" i="52"/>
  <c r="R57" i="56"/>
  <c r="R89" i="52"/>
  <c r="Q31" i="57"/>
  <c r="Q41" i="57" s="1"/>
  <c r="I81" i="52"/>
  <c r="I12" i="57"/>
  <c r="I92" i="52"/>
  <c r="P32" i="57"/>
  <c r="Q30" i="57"/>
  <c r="Q40" i="57" s="1"/>
  <c r="P9" i="52"/>
  <c r="F58" i="52"/>
  <c r="C81" i="52"/>
  <c r="S63" i="52"/>
  <c r="P26" i="57"/>
  <c r="R34" i="57"/>
  <c r="R44" i="57" s="1"/>
  <c r="P81" i="52"/>
  <c r="O9" i="52"/>
  <c r="O58" i="52"/>
  <c r="F42" i="57"/>
  <c r="S16" i="57"/>
  <c r="T23" i="57" s="1"/>
  <c r="S89" i="52"/>
  <c r="R95" i="52"/>
  <c r="R3" i="47"/>
  <c r="R3" i="52"/>
  <c r="R124" i="47"/>
  <c r="D28" i="48"/>
  <c r="D31" i="48" s="1"/>
  <c r="D33" i="48" s="1"/>
  <c r="D34" i="48" s="1"/>
  <c r="Q124" i="47"/>
  <c r="E28" i="48"/>
  <c r="E31" i="48" s="1"/>
  <c r="E33" i="48" s="1"/>
  <c r="E34" i="48" s="1"/>
  <c r="K100" i="52"/>
  <c r="K102" i="52" s="1"/>
  <c r="K54" i="52"/>
  <c r="K55" i="52" s="1"/>
  <c r="Q34" i="57"/>
  <c r="Q44" i="57" s="1"/>
  <c r="H19" i="52"/>
  <c r="H81" i="52"/>
  <c r="G80" i="52"/>
  <c r="S57" i="56"/>
  <c r="S43" i="52"/>
  <c r="E80" i="52"/>
  <c r="S67" i="52"/>
  <c r="E19" i="52"/>
  <c r="O30" i="57"/>
  <c r="O40" i="57" s="1"/>
  <c r="S32" i="52"/>
  <c r="O32" i="52"/>
  <c r="O34" i="52" s="1"/>
  <c r="S73" i="52"/>
  <c r="O57" i="56"/>
  <c r="N84" i="52"/>
  <c r="N6" i="57"/>
  <c r="S3" i="47"/>
  <c r="G84" i="52"/>
  <c r="G6" i="57"/>
  <c r="P124" i="47"/>
  <c r="S61" i="52"/>
  <c r="E81" i="52"/>
  <c r="S70" i="52"/>
  <c r="O61" i="56"/>
  <c r="N80" i="52"/>
  <c r="F41" i="57"/>
  <c r="P31" i="57"/>
  <c r="P41" i="57" s="1"/>
  <c r="S31" i="57"/>
  <c r="S98" i="52"/>
  <c r="F44" i="57"/>
  <c r="I80" i="52"/>
  <c r="I44" i="57"/>
  <c r="J80" i="52"/>
  <c r="R31" i="57"/>
  <c r="R41" i="57" s="1"/>
  <c r="D80" i="52"/>
  <c r="L80" i="52"/>
  <c r="F80" i="52"/>
  <c r="N44" i="57"/>
  <c r="M81" i="52"/>
  <c r="N43" i="57"/>
  <c r="R33" i="57"/>
  <c r="R43" i="57" s="1"/>
  <c r="H80" i="52"/>
  <c r="S33" i="57"/>
  <c r="O33" i="57"/>
  <c r="O43" i="57" s="1"/>
  <c r="H43" i="57"/>
  <c r="P33" i="57"/>
  <c r="P43" i="57" s="1"/>
  <c r="P3" i="47"/>
  <c r="P57" i="56"/>
  <c r="I6" i="57"/>
  <c r="I84" i="52"/>
  <c r="Q32" i="47"/>
  <c r="D6" i="57"/>
  <c r="D84" i="52"/>
  <c r="P29" i="56"/>
  <c r="J52" i="52"/>
  <c r="F100" i="52"/>
  <c r="F102" i="52" s="1"/>
  <c r="H6" i="57"/>
  <c r="H84" i="52"/>
  <c r="F6" i="57"/>
  <c r="G7" i="60" s="1"/>
  <c r="Q3" i="47"/>
  <c r="R32" i="47"/>
  <c r="P3" i="52"/>
  <c r="P32" i="47"/>
  <c r="S3" i="52"/>
  <c r="F84" i="52"/>
  <c r="J6" i="57"/>
  <c r="K7" i="60" s="1"/>
  <c r="J84" i="52"/>
  <c r="Q3" i="52"/>
  <c r="K84" i="52"/>
  <c r="K6" i="57"/>
  <c r="M6" i="57"/>
  <c r="N7" i="60" s="1"/>
  <c r="M84" i="52"/>
  <c r="G100" i="52"/>
  <c r="D100" i="52"/>
  <c r="D102" i="52" s="1"/>
  <c r="R29" i="56"/>
  <c r="Q29" i="56"/>
  <c r="B28" i="48"/>
  <c r="B31" i="48" s="1"/>
  <c r="B33" i="48" s="1"/>
  <c r="B34" i="48" s="1"/>
  <c r="I65" i="56"/>
  <c r="Q59" i="56"/>
  <c r="O29" i="56"/>
  <c r="O53" i="47"/>
  <c r="O49" i="47"/>
  <c r="C80" i="52"/>
  <c r="G37" i="32"/>
  <c r="H15" i="48"/>
  <c r="J15" i="48" s="1"/>
  <c r="N19" i="52"/>
  <c r="L19" i="52"/>
  <c r="I100" i="52"/>
  <c r="I102" i="52" s="1"/>
  <c r="H7" i="52"/>
  <c r="I18" i="61" s="1"/>
  <c r="R53" i="47"/>
  <c r="M14" i="52"/>
  <c r="E54" i="52"/>
  <c r="D152" i="47"/>
  <c r="S45" i="47"/>
  <c r="S137" i="47"/>
  <c r="P88" i="47"/>
  <c r="P90" i="47" s="1"/>
  <c r="M54" i="52"/>
  <c r="M55" i="52" s="1"/>
  <c r="F54" i="52"/>
  <c r="I54" i="52"/>
  <c r="N59" i="47"/>
  <c r="P131" i="47"/>
  <c r="I143" i="47"/>
  <c r="E27" i="63" s="1"/>
  <c r="Q140" i="47"/>
  <c r="Q143" i="47" s="1"/>
  <c r="S142" i="47"/>
  <c r="D134" i="47"/>
  <c r="O40" i="47"/>
  <c r="S40" i="47"/>
  <c r="P51" i="52"/>
  <c r="P52" i="52" s="1"/>
  <c r="D88" i="52"/>
  <c r="D90" i="52" s="1"/>
  <c r="H9" i="48" s="1"/>
  <c r="J9" i="48" s="1"/>
  <c r="O37" i="47"/>
  <c r="O45" i="47"/>
  <c r="H131" i="47"/>
  <c r="G36" i="32" s="1"/>
  <c r="L135" i="47"/>
  <c r="K43" i="32" s="1"/>
  <c r="H58" i="47"/>
  <c r="R37" i="47"/>
  <c r="D41" i="47"/>
  <c r="P145" i="47"/>
  <c r="G147" i="47"/>
  <c r="I139" i="47"/>
  <c r="N134" i="47"/>
  <c r="R40" i="47"/>
  <c r="J7" i="52"/>
  <c r="K18" i="61" s="1"/>
  <c r="J88" i="52"/>
  <c r="J90" i="52" s="1"/>
  <c r="P40" i="47"/>
  <c r="F134" i="47"/>
  <c r="G14" i="52"/>
  <c r="P17" i="52"/>
  <c r="P19" i="52" s="1"/>
  <c r="Q53" i="47"/>
  <c r="O139" i="47"/>
  <c r="D58" i="47"/>
  <c r="R143" i="47"/>
  <c r="P148" i="47"/>
  <c r="G139" i="47"/>
  <c r="P137" i="47"/>
  <c r="O146" i="47"/>
  <c r="S37" i="52"/>
  <c r="O88" i="47"/>
  <c r="O90" i="47" s="1"/>
  <c r="Q32" i="52"/>
  <c r="Q34" i="52" s="1"/>
  <c r="I34" i="52"/>
  <c r="J59" i="61" s="1"/>
  <c r="F58" i="47"/>
  <c r="F5" i="52"/>
  <c r="L53" i="52"/>
  <c r="L55" i="52" s="1"/>
  <c r="L5" i="52"/>
  <c r="L58" i="47"/>
  <c r="S130" i="47"/>
  <c r="S88" i="47"/>
  <c r="H36" i="32"/>
  <c r="F131" i="47"/>
  <c r="S129" i="47"/>
  <c r="I5" i="52"/>
  <c r="I58" i="47"/>
  <c r="G131" i="47"/>
  <c r="F36" i="32" s="1"/>
  <c r="Q88" i="47"/>
  <c r="Q90" i="47" s="1"/>
  <c r="E53" i="52"/>
  <c r="N5" i="52"/>
  <c r="N58" i="47"/>
  <c r="G5" i="52"/>
  <c r="G58" i="47"/>
  <c r="S37" i="47"/>
  <c r="J152" i="47"/>
  <c r="R17" i="52"/>
  <c r="R19" i="52" s="1"/>
  <c r="M100" i="52"/>
  <c r="M102" i="52" s="1"/>
  <c r="R139" i="47"/>
  <c r="J46" i="32"/>
  <c r="R131" i="47"/>
  <c r="I43" i="32"/>
  <c r="J153" i="47"/>
  <c r="J51" i="39"/>
  <c r="I50" i="39"/>
  <c r="C147" i="47"/>
  <c r="S145" i="47"/>
  <c r="O145" i="47"/>
  <c r="S53" i="47"/>
  <c r="Q144" i="47"/>
  <c r="Q147" i="47" s="1"/>
  <c r="P144" i="47"/>
  <c r="F147" i="47"/>
  <c r="S144" i="47"/>
  <c r="O144" i="47"/>
  <c r="C143" i="47"/>
  <c r="E21" i="63" s="1"/>
  <c r="C7" i="52"/>
  <c r="D18" i="61" s="1"/>
  <c r="O128" i="47"/>
  <c r="O131" i="47" s="1"/>
  <c r="S128" i="47"/>
  <c r="C131" i="47"/>
  <c r="S34" i="57"/>
  <c r="O34" i="57"/>
  <c r="O44" i="57" s="1"/>
  <c r="S29" i="56"/>
  <c r="S95" i="52"/>
  <c r="O26" i="57"/>
  <c r="C27" i="57"/>
  <c r="D73" i="60" s="1"/>
  <c r="S26" i="57"/>
  <c r="S46" i="52"/>
  <c r="C60" i="56"/>
  <c r="O32" i="47"/>
  <c r="S32" i="47"/>
  <c r="C124" i="47"/>
  <c r="O24" i="56"/>
  <c r="C19" i="52"/>
  <c r="O17" i="52"/>
  <c r="O19" i="52" s="1"/>
  <c r="O63" i="56"/>
  <c r="S63" i="56"/>
  <c r="S59" i="56"/>
  <c r="O59" i="56"/>
  <c r="C65" i="56"/>
  <c r="J19" i="52"/>
  <c r="J100" i="52"/>
  <c r="J102" i="52" s="1"/>
  <c r="S17" i="52"/>
  <c r="Q17" i="52"/>
  <c r="Q19" i="52" s="1"/>
  <c r="L102" i="52"/>
  <c r="BC35" i="36"/>
  <c r="BM35" i="36" s="1"/>
  <c r="AE54" i="36"/>
  <c r="H54" i="39" s="1"/>
  <c r="H55" i="39" s="1"/>
  <c r="AA54" i="36"/>
  <c r="S54" i="36"/>
  <c r="L54" i="39"/>
  <c r="L55" i="39" s="1"/>
  <c r="L56" i="39" s="1"/>
  <c r="C22" i="48"/>
  <c r="K54" i="36"/>
  <c r="C54" i="39" s="1"/>
  <c r="C55" i="39" s="1"/>
  <c r="K8" i="52"/>
  <c r="K30" i="56"/>
  <c r="K31" i="56" s="1"/>
  <c r="K60" i="56"/>
  <c r="BA54" i="36"/>
  <c r="BE30" i="36" s="1"/>
  <c r="F60" i="56"/>
  <c r="P24" i="56"/>
  <c r="P30" i="56" s="1"/>
  <c r="F8" i="52"/>
  <c r="F30" i="56"/>
  <c r="F31" i="56" s="1"/>
  <c r="G30" i="56"/>
  <c r="G31" i="56" s="1"/>
  <c r="G60" i="56"/>
  <c r="E30" i="56"/>
  <c r="E31" i="56" s="1"/>
  <c r="E60" i="56"/>
  <c r="BC34" i="36"/>
  <c r="BM34" i="36" s="1"/>
  <c r="S24" i="56"/>
  <c r="O8" i="22" s="1"/>
  <c r="L60" i="56"/>
  <c r="L30" i="56"/>
  <c r="L31" i="56" s="1"/>
  <c r="R24" i="56"/>
  <c r="R30" i="56" s="1"/>
  <c r="M104" i="52"/>
  <c r="L7" i="32" s="1"/>
  <c r="M22" i="52"/>
  <c r="N20" i="61" s="1"/>
  <c r="M9" i="57"/>
  <c r="N75" i="52"/>
  <c r="R52" i="56"/>
  <c r="D75" i="52"/>
  <c r="S52" i="56"/>
  <c r="F8" i="48"/>
  <c r="O52" i="56"/>
  <c r="H9" i="57"/>
  <c r="H22" i="52"/>
  <c r="I20" i="61" s="1"/>
  <c r="H104" i="52"/>
  <c r="G7" i="32" s="1"/>
  <c r="K9" i="57"/>
  <c r="K104" i="52"/>
  <c r="J7" i="32" s="1"/>
  <c r="K22" i="52"/>
  <c r="F9" i="57"/>
  <c r="G17" i="60" s="1"/>
  <c r="F104" i="52"/>
  <c r="E7" i="32" s="1"/>
  <c r="F22" i="52"/>
  <c r="G20" i="61" s="1"/>
  <c r="I21" i="52"/>
  <c r="I29" i="57"/>
  <c r="J75" i="60" s="1"/>
  <c r="I76" i="52"/>
  <c r="J102" i="61" s="1"/>
  <c r="Q75" i="52"/>
  <c r="H46" i="39"/>
  <c r="F13" i="48"/>
  <c r="L104" i="52"/>
  <c r="K7" i="32" s="1"/>
  <c r="L9" i="57"/>
  <c r="M17" i="60" s="1"/>
  <c r="L22" i="52"/>
  <c r="M20" i="61" s="1"/>
  <c r="J104" i="52"/>
  <c r="I7" i="32" s="1"/>
  <c r="J9" i="57"/>
  <c r="K17" i="60" s="1"/>
  <c r="J22" i="52"/>
  <c r="K20" i="61" s="1"/>
  <c r="S19" i="56"/>
  <c r="Q19" i="56"/>
  <c r="F64" i="56"/>
  <c r="G29" i="57"/>
  <c r="G76" i="52"/>
  <c r="J76" i="52"/>
  <c r="J29" i="57"/>
  <c r="K75" i="60" s="1"/>
  <c r="L79" i="52"/>
  <c r="BC18" i="36"/>
  <c r="BM18" i="36" s="1"/>
  <c r="G54" i="36"/>
  <c r="P52" i="56"/>
  <c r="F79" i="52"/>
  <c r="I28" i="56"/>
  <c r="Q12" i="56"/>
  <c r="E28" i="56"/>
  <c r="H28" i="56"/>
  <c r="F24" i="48"/>
  <c r="B46" i="39"/>
  <c r="F10" i="48"/>
  <c r="M28" i="56"/>
  <c r="M6" i="22" s="1"/>
  <c r="M4" i="22" s="1"/>
  <c r="J46" i="39"/>
  <c r="F20" i="48"/>
  <c r="F23" i="48"/>
  <c r="K46" i="39"/>
  <c r="L28" i="56"/>
  <c r="L6" i="22" s="1"/>
  <c r="L4" i="22" s="1"/>
  <c r="R12" i="56"/>
  <c r="N18" i="32"/>
  <c r="B45" i="39"/>
  <c r="F25" i="48"/>
  <c r="N28" i="56"/>
  <c r="N6" i="22" s="1"/>
  <c r="M46" i="39"/>
  <c r="F9" i="48"/>
  <c r="D28" i="56"/>
  <c r="D6" i="22" s="1"/>
  <c r="D4" i="22" s="1"/>
  <c r="C46" i="39"/>
  <c r="O12" i="56"/>
  <c r="G28" i="56"/>
  <c r="G6" i="22" s="1"/>
  <c r="G4" i="22" s="1"/>
  <c r="F14" i="48"/>
  <c r="F46" i="39"/>
  <c r="P12" i="56"/>
  <c r="S12" i="56"/>
  <c r="CO28" i="26"/>
  <c r="F19" i="48"/>
  <c r="I46" i="39"/>
  <c r="J28" i="56"/>
  <c r="J6" i="22" s="1"/>
  <c r="J4" i="22" s="1"/>
  <c r="CN28" i="26"/>
  <c r="K64" i="56"/>
  <c r="C64" i="56"/>
  <c r="C45" i="39"/>
  <c r="E59" i="47" l="1"/>
  <c r="Q41" i="47"/>
  <c r="Q59" i="47" s="1"/>
  <c r="M153" i="47"/>
  <c r="G153" i="47"/>
  <c r="C8" i="52"/>
  <c r="C10" i="52" s="1"/>
  <c r="D19" i="61" s="1"/>
  <c r="R82" i="61"/>
  <c r="Q21" i="61"/>
  <c r="Q42" i="61" s="1"/>
  <c r="BE29" i="36"/>
  <c r="BE41" i="36"/>
  <c r="BE37" i="36"/>
  <c r="BE33" i="36"/>
  <c r="BE25" i="36"/>
  <c r="BE21" i="36"/>
  <c r="BE17" i="36"/>
  <c r="BE13" i="36"/>
  <c r="BE39" i="36"/>
  <c r="BE23" i="36"/>
  <c r="BE38" i="36"/>
  <c r="BE26" i="36"/>
  <c r="BE14" i="36"/>
  <c r="BE40" i="36"/>
  <c r="BE36" i="36"/>
  <c r="BE32" i="36"/>
  <c r="BE28" i="36"/>
  <c r="BE24" i="36"/>
  <c r="BE20" i="36"/>
  <c r="BE16" i="36"/>
  <c r="BE35" i="36"/>
  <c r="BE31" i="36"/>
  <c r="BE19" i="36"/>
  <c r="BE42" i="36"/>
  <c r="BE34" i="36"/>
  <c r="BE22" i="36"/>
  <c r="BE43" i="36"/>
  <c r="BE27" i="36"/>
  <c r="BE15" i="36"/>
  <c r="BE18" i="36"/>
  <c r="CR14" i="26"/>
  <c r="CR21" i="26"/>
  <c r="CQ23" i="26"/>
  <c r="CR10" i="26"/>
  <c r="CR5" i="26"/>
  <c r="CQ20" i="26"/>
  <c r="CR27" i="26"/>
  <c r="CQ10" i="26"/>
  <c r="CR12" i="26"/>
  <c r="CR6" i="26"/>
  <c r="CQ16" i="26"/>
  <c r="CQ9" i="26"/>
  <c r="CR16" i="26"/>
  <c r="CQ8" i="26"/>
  <c r="CR19" i="26"/>
  <c r="CR7" i="26"/>
  <c r="CQ13" i="26"/>
  <c r="CR23" i="26"/>
  <c r="CR26" i="26"/>
  <c r="CR15" i="26"/>
  <c r="CR8" i="26"/>
  <c r="CR25" i="26"/>
  <c r="CQ15" i="26"/>
  <c r="CQ22" i="26"/>
  <c r="CQ17" i="26"/>
  <c r="CQ26" i="26"/>
  <c r="CQ19" i="26"/>
  <c r="CQ27" i="26"/>
  <c r="CQ6" i="26"/>
  <c r="CR9" i="26"/>
  <c r="CQ12" i="26"/>
  <c r="CR13" i="26"/>
  <c r="CQ7" i="26"/>
  <c r="CR11" i="26"/>
  <c r="CQ18" i="26"/>
  <c r="CR20" i="26"/>
  <c r="CR17" i="26"/>
  <c r="CQ11" i="26"/>
  <c r="CR24" i="26"/>
  <c r="CR22" i="26"/>
  <c r="CR18" i="26"/>
  <c r="CQ5" i="26"/>
  <c r="CQ21" i="26"/>
  <c r="CQ14" i="26"/>
  <c r="CQ25" i="26"/>
  <c r="CQ24" i="26"/>
  <c r="H8" i="52"/>
  <c r="H10" i="52" s="1"/>
  <c r="I19" i="61" s="1"/>
  <c r="I40" i="61" s="1"/>
  <c r="D46" i="32"/>
  <c r="E23" i="63"/>
  <c r="D40" i="32"/>
  <c r="F7" i="63"/>
  <c r="E152" i="47"/>
  <c r="F23" i="63"/>
  <c r="C40" i="32"/>
  <c r="C41" i="32" s="1"/>
  <c r="D28" i="22" s="1"/>
  <c r="F6" i="63"/>
  <c r="B40" i="32"/>
  <c r="B41" i="32" s="1"/>
  <c r="C28" i="22" s="1"/>
  <c r="F5" i="63"/>
  <c r="B47" i="32"/>
  <c r="E5" i="63"/>
  <c r="H153" i="47"/>
  <c r="BK54" i="36"/>
  <c r="C14" i="62"/>
  <c r="C16" i="62" s="1"/>
  <c r="O16" i="62" s="1"/>
  <c r="C17" i="62"/>
  <c r="O17" i="62" s="1"/>
  <c r="BK48" i="36"/>
  <c r="N67" i="56"/>
  <c r="M40" i="32"/>
  <c r="M41" i="32" s="1"/>
  <c r="F16" i="63"/>
  <c r="L39" i="32"/>
  <c r="M22" i="22" s="1"/>
  <c r="L24" i="39" s="1"/>
  <c r="F31" i="63"/>
  <c r="K39" i="32"/>
  <c r="L22" i="22" s="1"/>
  <c r="K24" i="39" s="1"/>
  <c r="F30" i="63"/>
  <c r="K46" i="32"/>
  <c r="E30" i="63"/>
  <c r="K47" i="32"/>
  <c r="E14" i="63"/>
  <c r="I40" i="32"/>
  <c r="I41" i="32" s="1"/>
  <c r="J28" i="22" s="1"/>
  <c r="F12" i="63"/>
  <c r="H39" i="32"/>
  <c r="I22" i="22" s="1"/>
  <c r="H24" i="39" s="1"/>
  <c r="F27" i="63"/>
  <c r="H47" i="32"/>
  <c r="E11" i="63"/>
  <c r="G47" i="32"/>
  <c r="G48" i="32" s="1"/>
  <c r="E10" i="63"/>
  <c r="F39" i="32"/>
  <c r="F25" i="63"/>
  <c r="S11" i="62"/>
  <c r="U11" i="62" s="1"/>
  <c r="E13" i="32"/>
  <c r="R65" i="56"/>
  <c r="M82" i="52"/>
  <c r="P65" i="56"/>
  <c r="L36" i="57"/>
  <c r="J154" i="47"/>
  <c r="J60" i="47"/>
  <c r="E60" i="47"/>
  <c r="Q31" i="56"/>
  <c r="F60" i="47"/>
  <c r="G82" i="52"/>
  <c r="H60" i="47"/>
  <c r="M60" i="47"/>
  <c r="R31" i="56"/>
  <c r="I66" i="56"/>
  <c r="I67" i="56" s="1"/>
  <c r="N60" i="47"/>
  <c r="J67" i="56"/>
  <c r="T34" i="57"/>
  <c r="K60" i="47"/>
  <c r="L60" i="47"/>
  <c r="T33" i="47"/>
  <c r="T22" i="57"/>
  <c r="T62" i="56"/>
  <c r="C60" i="47"/>
  <c r="S90" i="47"/>
  <c r="E64" i="56"/>
  <c r="E6" i="22"/>
  <c r="E4" i="22" s="1"/>
  <c r="H64" i="56"/>
  <c r="H6" i="22"/>
  <c r="H4" i="22" s="1"/>
  <c r="I64" i="56"/>
  <c r="I6" i="22"/>
  <c r="I4" i="22" s="1"/>
  <c r="S30" i="47"/>
  <c r="T52" i="56"/>
  <c r="T70" i="52"/>
  <c r="S55" i="56"/>
  <c r="T24" i="56"/>
  <c r="O30" i="56"/>
  <c r="O31" i="56" s="1"/>
  <c r="T61" i="56"/>
  <c r="T67" i="52"/>
  <c r="T61" i="52"/>
  <c r="T59" i="56"/>
  <c r="T73" i="52"/>
  <c r="T63" i="56"/>
  <c r="T46" i="52"/>
  <c r="T43" i="52"/>
  <c r="T37" i="52"/>
  <c r="E82" i="52"/>
  <c r="H82" i="52"/>
  <c r="P55" i="52"/>
  <c r="C55" i="52"/>
  <c r="F55" i="52"/>
  <c r="T89" i="47"/>
  <c r="E55" i="52"/>
  <c r="D82" i="52"/>
  <c r="T49" i="47"/>
  <c r="T53" i="47"/>
  <c r="T45" i="47"/>
  <c r="T37" i="47"/>
  <c r="T24" i="57"/>
  <c r="I82" i="52"/>
  <c r="S40" i="57"/>
  <c r="T30" i="57"/>
  <c r="T20" i="57"/>
  <c r="T21" i="57"/>
  <c r="S43" i="57"/>
  <c r="T33" i="57"/>
  <c r="S41" i="57"/>
  <c r="T31" i="57"/>
  <c r="C82" i="52"/>
  <c r="F82" i="52"/>
  <c r="Q14" i="62"/>
  <c r="P57" i="47"/>
  <c r="F151" i="47"/>
  <c r="D24" i="63" s="1"/>
  <c r="Q16" i="62"/>
  <c r="P85" i="52"/>
  <c r="M54" i="39"/>
  <c r="M55" i="39" s="1"/>
  <c r="M56" i="39" s="1"/>
  <c r="P12" i="62"/>
  <c r="F17" i="62"/>
  <c r="P17" i="62" s="1"/>
  <c r="F14" i="62"/>
  <c r="P14" i="62" s="1"/>
  <c r="R12" i="62"/>
  <c r="L17" i="62"/>
  <c r="R17" i="62" s="1"/>
  <c r="N123" i="61"/>
  <c r="N126" i="61" s="1"/>
  <c r="N105" i="61"/>
  <c r="K12" i="32"/>
  <c r="K13" i="32" s="1"/>
  <c r="R150" i="47"/>
  <c r="L151" i="47"/>
  <c r="D30" i="63" s="1"/>
  <c r="S150" i="47"/>
  <c r="R14" i="62"/>
  <c r="L16" i="62"/>
  <c r="R16" i="62" s="1"/>
  <c r="L123" i="61"/>
  <c r="L126" i="61" s="1"/>
  <c r="L105" i="61"/>
  <c r="J79" i="52"/>
  <c r="K102" i="61"/>
  <c r="R102" i="61" s="1"/>
  <c r="R123" i="61" s="1"/>
  <c r="R126" i="61" s="1"/>
  <c r="I51" i="39"/>
  <c r="J123" i="61"/>
  <c r="J126" i="61" s="1"/>
  <c r="J105" i="61"/>
  <c r="Q151" i="47"/>
  <c r="H51" i="39"/>
  <c r="I105" i="61"/>
  <c r="I123" i="61"/>
  <c r="I126" i="61" s="1"/>
  <c r="G79" i="52"/>
  <c r="H102" i="61"/>
  <c r="F51" i="39"/>
  <c r="S13" i="62"/>
  <c r="F105" i="61"/>
  <c r="F123" i="61"/>
  <c r="F126" i="61" s="1"/>
  <c r="D123" i="61"/>
  <c r="D126" i="61" s="1"/>
  <c r="D105" i="61"/>
  <c r="G9" i="32"/>
  <c r="G14" i="32" s="1"/>
  <c r="E105" i="52"/>
  <c r="D31" i="32" s="1"/>
  <c r="D7" i="32"/>
  <c r="F8" i="32"/>
  <c r="F32" i="32" s="1"/>
  <c r="E9" i="32"/>
  <c r="K8" i="32"/>
  <c r="K32" i="32" s="1"/>
  <c r="J8" i="32"/>
  <c r="J9" i="32" s="1"/>
  <c r="J14" i="32" s="1"/>
  <c r="C8" i="32"/>
  <c r="C32" i="32" s="1"/>
  <c r="I8" i="32"/>
  <c r="I9" i="32" s="1"/>
  <c r="I14" i="32" s="1"/>
  <c r="M8" i="32"/>
  <c r="M32" i="32" s="1"/>
  <c r="L8" i="32"/>
  <c r="L32" i="32" s="1"/>
  <c r="D8" i="32"/>
  <c r="D32" i="32" s="1"/>
  <c r="N97" i="52"/>
  <c r="N99" i="52" s="1"/>
  <c r="S40" i="52"/>
  <c r="S80" i="61"/>
  <c r="L16" i="52"/>
  <c r="S81" i="61"/>
  <c r="E36" i="57"/>
  <c r="G94" i="52"/>
  <c r="G96" i="52" s="1"/>
  <c r="H64" i="61"/>
  <c r="C13" i="52"/>
  <c r="C26" i="52" s="1"/>
  <c r="Q81" i="61"/>
  <c r="E97" i="52"/>
  <c r="E99" i="52" s="1"/>
  <c r="Q77" i="60"/>
  <c r="N64" i="61"/>
  <c r="I39" i="61"/>
  <c r="R11" i="52"/>
  <c r="R13" i="52" s="1"/>
  <c r="F94" i="52"/>
  <c r="F96" i="52" s="1"/>
  <c r="J16" i="52"/>
  <c r="I16" i="52"/>
  <c r="I27" i="52" s="1"/>
  <c r="E13" i="52"/>
  <c r="E26" i="52" s="1"/>
  <c r="F64" i="61"/>
  <c r="L94" i="52"/>
  <c r="L96" i="52" s="1"/>
  <c r="P106" i="52"/>
  <c r="D97" i="52"/>
  <c r="D99" i="52" s="1"/>
  <c r="T59" i="61"/>
  <c r="T80" i="61" s="1"/>
  <c r="P11" i="52"/>
  <c r="P13" i="52" s="1"/>
  <c r="Q106" i="52"/>
  <c r="T33" i="61"/>
  <c r="H94" i="52"/>
  <c r="H96" i="52" s="1"/>
  <c r="F10" i="63" s="1"/>
  <c r="I94" i="52"/>
  <c r="I96" i="52" s="1"/>
  <c r="S77" i="60"/>
  <c r="Q82" i="61"/>
  <c r="P33" i="61"/>
  <c r="P80" i="61"/>
  <c r="L64" i="61"/>
  <c r="L13" i="52"/>
  <c r="F97" i="52"/>
  <c r="F99" i="52" s="1"/>
  <c r="H16" i="52"/>
  <c r="T21" i="61"/>
  <c r="T42" i="61" s="1"/>
  <c r="O85" i="61"/>
  <c r="L85" i="61"/>
  <c r="D39" i="61"/>
  <c r="P18" i="61"/>
  <c r="J84" i="61"/>
  <c r="J85" i="61" s="1"/>
  <c r="R63" i="61"/>
  <c r="R84" i="61" s="1"/>
  <c r="P21" i="61"/>
  <c r="P42" i="61" s="1"/>
  <c r="S21" i="61"/>
  <c r="S42" i="61" s="1"/>
  <c r="M42" i="61"/>
  <c r="F85" i="61"/>
  <c r="I64" i="61"/>
  <c r="J64" i="61"/>
  <c r="S32" i="61"/>
  <c r="M41" i="61"/>
  <c r="K24" i="52"/>
  <c r="L22" i="61" s="1"/>
  <c r="L43" i="61" s="1"/>
  <c r="L20" i="61"/>
  <c r="I41" i="61"/>
  <c r="S106" i="52"/>
  <c r="S11" i="52"/>
  <c r="Q14" i="52"/>
  <c r="Q16" i="52" s="1"/>
  <c r="J80" i="61"/>
  <c r="R59" i="61"/>
  <c r="R80" i="61" s="1"/>
  <c r="K39" i="61"/>
  <c r="D13" i="52"/>
  <c r="D26" i="52" s="1"/>
  <c r="N13" i="52"/>
  <c r="K97" i="52"/>
  <c r="K99" i="52" s="1"/>
  <c r="M94" i="52"/>
  <c r="M96" i="52" s="1"/>
  <c r="M122" i="61"/>
  <c r="S101" i="61"/>
  <c r="S122" i="61" s="1"/>
  <c r="J40" i="61"/>
  <c r="H41" i="61"/>
  <c r="T65" i="60"/>
  <c r="R21" i="61"/>
  <c r="R42" i="61" s="1"/>
  <c r="H85" i="61"/>
  <c r="R32" i="61"/>
  <c r="R81" i="61"/>
  <c r="P32" i="61"/>
  <c r="T32" i="61"/>
  <c r="I85" i="61"/>
  <c r="Q59" i="61"/>
  <c r="Q80" i="61" s="1"/>
  <c r="G80" i="61"/>
  <c r="Q33" i="61"/>
  <c r="O64" i="61"/>
  <c r="S63" i="61"/>
  <c r="S84" i="61" s="1"/>
  <c r="M84" i="61"/>
  <c r="M85" i="61" s="1"/>
  <c r="Q32" i="61"/>
  <c r="E64" i="61"/>
  <c r="F41" i="61"/>
  <c r="S33" i="61"/>
  <c r="D81" i="61"/>
  <c r="P60" i="61"/>
  <c r="P81" i="61" s="1"/>
  <c r="T60" i="61"/>
  <c r="T81" i="61" s="1"/>
  <c r="K81" i="52"/>
  <c r="K82" i="52" s="1"/>
  <c r="L101" i="61"/>
  <c r="L122" i="61" s="1"/>
  <c r="G41" i="61"/>
  <c r="Q34" i="61"/>
  <c r="G37" i="61"/>
  <c r="Q37" i="61" s="1"/>
  <c r="P7" i="61"/>
  <c r="T7" i="61"/>
  <c r="R33" i="61"/>
  <c r="H13" i="52"/>
  <c r="H26" i="52" s="1"/>
  <c r="K41" i="61"/>
  <c r="Q20" i="61"/>
  <c r="N41" i="61"/>
  <c r="D40" i="61"/>
  <c r="O11" i="52"/>
  <c r="O13" i="52" s="1"/>
  <c r="Q11" i="52"/>
  <c r="Q13" i="52" s="1"/>
  <c r="K13" i="52"/>
  <c r="J13" i="52"/>
  <c r="J26" i="52" s="1"/>
  <c r="F39" i="61"/>
  <c r="N39" i="61"/>
  <c r="R106" i="52"/>
  <c r="M37" i="61"/>
  <c r="S37" i="61" s="1"/>
  <c r="S34" i="61"/>
  <c r="J37" i="61"/>
  <c r="R37" i="61" s="1"/>
  <c r="R34" i="61"/>
  <c r="Q76" i="60"/>
  <c r="N85" i="61"/>
  <c r="S82" i="61"/>
  <c r="O106" i="52"/>
  <c r="Q63" i="61"/>
  <c r="Q84" i="61" s="1"/>
  <c r="G84" i="61"/>
  <c r="G85" i="61" s="1"/>
  <c r="E85" i="61"/>
  <c r="H39" i="57"/>
  <c r="H6" i="62" s="1"/>
  <c r="H7" i="62" s="1"/>
  <c r="I17" i="60"/>
  <c r="P29" i="57"/>
  <c r="H75" i="60"/>
  <c r="Q75" i="60" s="1"/>
  <c r="M39" i="57"/>
  <c r="M6" i="62" s="1"/>
  <c r="M7" i="62" s="1"/>
  <c r="N17" i="60"/>
  <c r="K36" i="57"/>
  <c r="L7" i="60"/>
  <c r="H36" i="57"/>
  <c r="I7" i="60"/>
  <c r="D36" i="57"/>
  <c r="E7" i="60"/>
  <c r="E17" i="57"/>
  <c r="F44" i="60" s="1"/>
  <c r="E44" i="60"/>
  <c r="T36" i="60"/>
  <c r="P36" i="60"/>
  <c r="R77" i="60"/>
  <c r="C7" i="57"/>
  <c r="D7" i="60"/>
  <c r="P76" i="60"/>
  <c r="T76" i="60"/>
  <c r="K39" i="57"/>
  <c r="K6" i="62" s="1"/>
  <c r="K7" i="62" s="1"/>
  <c r="L17" i="60"/>
  <c r="N36" i="57"/>
  <c r="O7" i="60"/>
  <c r="S7" i="60" s="1"/>
  <c r="E39" i="57"/>
  <c r="E6" i="62" s="1"/>
  <c r="E7" i="62" s="1"/>
  <c r="F17" i="60"/>
  <c r="R76" i="60"/>
  <c r="R75" i="60"/>
  <c r="I36" i="57"/>
  <c r="J7" i="60"/>
  <c r="G36" i="57"/>
  <c r="H7" i="60"/>
  <c r="T77" i="60"/>
  <c r="P77" i="60"/>
  <c r="S76" i="60"/>
  <c r="G104" i="52"/>
  <c r="M49" i="39"/>
  <c r="R148" i="47"/>
  <c r="M151" i="47"/>
  <c r="D31" i="63" s="1"/>
  <c r="B10" i="32"/>
  <c r="B13" i="32" s="1"/>
  <c r="C151" i="47"/>
  <c r="D21" i="63" s="1"/>
  <c r="Q65" i="56"/>
  <c r="M28" i="48"/>
  <c r="D66" i="56"/>
  <c r="D67" i="56" s="1"/>
  <c r="Q29" i="57"/>
  <c r="G9" i="57"/>
  <c r="G66" i="56"/>
  <c r="G67" i="56" s="1"/>
  <c r="M66" i="56"/>
  <c r="M67" i="56" s="1"/>
  <c r="H66" i="56"/>
  <c r="H67" i="56" s="1"/>
  <c r="P21" i="52"/>
  <c r="E66" i="56"/>
  <c r="E67" i="56" s="1"/>
  <c r="K66" i="56"/>
  <c r="K67" i="56" s="1"/>
  <c r="C66" i="56"/>
  <c r="C67" i="56" s="1"/>
  <c r="P31" i="52"/>
  <c r="R41" i="47"/>
  <c r="R59" i="47" s="1"/>
  <c r="P41" i="47"/>
  <c r="P59" i="47" s="1"/>
  <c r="Q32" i="57"/>
  <c r="D39" i="32"/>
  <c r="P139" i="47"/>
  <c r="G59" i="47"/>
  <c r="G60" i="47" s="1"/>
  <c r="R32" i="57"/>
  <c r="I59" i="47"/>
  <c r="I60" i="47" s="1"/>
  <c r="M42" i="57"/>
  <c r="O12" i="57"/>
  <c r="O42" i="57" s="1"/>
  <c r="K54" i="39"/>
  <c r="K55" i="39" s="1"/>
  <c r="K56" i="39" s="1"/>
  <c r="S41" i="47"/>
  <c r="T41" i="47" s="1"/>
  <c r="Q153" i="47"/>
  <c r="O41" i="47"/>
  <c r="O59" i="47" s="1"/>
  <c r="R57" i="47"/>
  <c r="Q57" i="47"/>
  <c r="F54" i="39"/>
  <c r="F55" i="39" s="1"/>
  <c r="F56" i="39" s="1"/>
  <c r="F24" i="52"/>
  <c r="S133" i="47"/>
  <c r="O133" i="47"/>
  <c r="E50" i="39"/>
  <c r="P149" i="47"/>
  <c r="P151" i="47" s="1"/>
  <c r="S149" i="47"/>
  <c r="D50" i="39"/>
  <c r="D148" i="47"/>
  <c r="D57" i="47"/>
  <c r="E34" i="61" s="1"/>
  <c r="O54" i="47"/>
  <c r="O57" i="47" s="1"/>
  <c r="S54" i="47"/>
  <c r="M8" i="52"/>
  <c r="M91" i="52" s="1"/>
  <c r="M92" i="52"/>
  <c r="M26" i="52"/>
  <c r="M88" i="52"/>
  <c r="M90" i="52" s="1"/>
  <c r="H24" i="48" s="1"/>
  <c r="J24" i="48" s="1"/>
  <c r="D18" i="57"/>
  <c r="E45" i="60" s="1"/>
  <c r="E153" i="47"/>
  <c r="S139" i="47"/>
  <c r="H152" i="47"/>
  <c r="K152" i="47"/>
  <c r="L153" i="47"/>
  <c r="K42" i="57"/>
  <c r="J37" i="32"/>
  <c r="J38" i="32" s="1"/>
  <c r="K153" i="47"/>
  <c r="M152" i="47"/>
  <c r="L152" i="47"/>
  <c r="E88" i="52"/>
  <c r="E90" i="52" s="1"/>
  <c r="H10" i="48" s="1"/>
  <c r="J10" i="48" s="1"/>
  <c r="G152" i="47"/>
  <c r="K7" i="52"/>
  <c r="L18" i="61" s="1"/>
  <c r="L39" i="61" s="1"/>
  <c r="I91" i="52"/>
  <c r="I93" i="52" s="1"/>
  <c r="P100" i="52"/>
  <c r="P102" i="52" s="1"/>
  <c r="O92" i="52"/>
  <c r="R4" i="56"/>
  <c r="S4" i="56"/>
  <c r="S32" i="57"/>
  <c r="T32" i="57" s="1"/>
  <c r="O65" i="56"/>
  <c r="Q80" i="52"/>
  <c r="Q82" i="52" s="1"/>
  <c r="C36" i="57"/>
  <c r="C28" i="48"/>
  <c r="C31" i="48" s="1"/>
  <c r="C33" i="48" s="1"/>
  <c r="C34" i="48" s="1"/>
  <c r="N92" i="52"/>
  <c r="N93" i="52" s="1"/>
  <c r="N12" i="57"/>
  <c r="N42" i="57" s="1"/>
  <c r="O58" i="47"/>
  <c r="N81" i="52"/>
  <c r="N82" i="52" s="1"/>
  <c r="R80" i="52"/>
  <c r="R82" i="52" s="1"/>
  <c r="O6" i="57"/>
  <c r="O36" i="57" s="1"/>
  <c r="O14" i="52"/>
  <c r="O16" i="52" s="1"/>
  <c r="S143" i="47"/>
  <c r="J12" i="57"/>
  <c r="J42" i="57" s="1"/>
  <c r="J92" i="52"/>
  <c r="Q92" i="52" s="1"/>
  <c r="S9" i="52"/>
  <c r="G58" i="52"/>
  <c r="P46" i="56"/>
  <c r="L81" i="52"/>
  <c r="L82" i="52" s="1"/>
  <c r="O84" i="52"/>
  <c r="S34" i="56"/>
  <c r="G42" i="57"/>
  <c r="P12" i="57"/>
  <c r="P42" i="57" s="1"/>
  <c r="R34" i="56"/>
  <c r="D42" i="57"/>
  <c r="L92" i="52"/>
  <c r="L12" i="57"/>
  <c r="R9" i="52"/>
  <c r="L8" i="52"/>
  <c r="L10" i="52" s="1"/>
  <c r="M19" i="61" s="1"/>
  <c r="C16" i="52"/>
  <c r="J8" i="52"/>
  <c r="J10" i="52" s="1"/>
  <c r="S64" i="52"/>
  <c r="I42" i="57"/>
  <c r="J81" i="52"/>
  <c r="J82" i="52" s="1"/>
  <c r="R84" i="52"/>
  <c r="T88" i="47"/>
  <c r="O100" i="52"/>
  <c r="O102" i="52" s="1"/>
  <c r="P80" i="52"/>
  <c r="P82" i="52" s="1"/>
  <c r="P84" i="52"/>
  <c r="N10" i="52"/>
  <c r="O19" i="61" s="1"/>
  <c r="O40" i="61" s="1"/>
  <c r="C37" i="32"/>
  <c r="C38" i="32" s="1"/>
  <c r="J36" i="57"/>
  <c r="Q6" i="57"/>
  <c r="Q36" i="57" s="1"/>
  <c r="P6" i="57"/>
  <c r="P36" i="57" s="1"/>
  <c r="F36" i="57"/>
  <c r="S6" i="57"/>
  <c r="R6" i="57"/>
  <c r="R36" i="57" s="1"/>
  <c r="M36" i="57"/>
  <c r="Q84" i="52"/>
  <c r="S84" i="52"/>
  <c r="G102" i="52"/>
  <c r="O94" i="52"/>
  <c r="O96" i="52" s="1"/>
  <c r="G38" i="32"/>
  <c r="S80" i="52"/>
  <c r="O80" i="52"/>
  <c r="O82" i="52" s="1"/>
  <c r="S44" i="57"/>
  <c r="R100" i="52"/>
  <c r="R102" i="52" s="1"/>
  <c r="P147" i="47"/>
  <c r="M97" i="52"/>
  <c r="M99" i="52" s="1"/>
  <c r="M16" i="52"/>
  <c r="R14" i="52"/>
  <c r="R16" i="52" s="1"/>
  <c r="I152" i="47"/>
  <c r="S54" i="52"/>
  <c r="E49" i="39"/>
  <c r="G97" i="52"/>
  <c r="G16" i="52"/>
  <c r="D59" i="47"/>
  <c r="D60" i="47" s="1"/>
  <c r="D8" i="52"/>
  <c r="P14" i="52"/>
  <c r="P16" i="52" s="1"/>
  <c r="S58" i="47"/>
  <c r="P134" i="47"/>
  <c r="P135" i="47" s="1"/>
  <c r="P153" i="47" s="1"/>
  <c r="F135" i="47"/>
  <c r="N135" i="47"/>
  <c r="R134" i="47"/>
  <c r="R135" i="47" s="1"/>
  <c r="R153" i="47" s="1"/>
  <c r="H46" i="32"/>
  <c r="I153" i="47"/>
  <c r="H19" i="48"/>
  <c r="J19" i="48" s="1"/>
  <c r="I37" i="32"/>
  <c r="I38" i="32" s="1"/>
  <c r="J110" i="52"/>
  <c r="D110" i="52"/>
  <c r="S14" i="52"/>
  <c r="O134" i="47"/>
  <c r="S134" i="47"/>
  <c r="D135" i="47"/>
  <c r="L88" i="52"/>
  <c r="L7" i="52"/>
  <c r="M18" i="61" s="1"/>
  <c r="R5" i="52"/>
  <c r="R7" i="52" s="1"/>
  <c r="Q5" i="52"/>
  <c r="Q7" i="52" s="1"/>
  <c r="I88" i="52"/>
  <c r="I7" i="52"/>
  <c r="J18" i="61" s="1"/>
  <c r="R53" i="52"/>
  <c r="R55" i="52" s="1"/>
  <c r="S131" i="47"/>
  <c r="G7" i="52"/>
  <c r="H18" i="61" s="1"/>
  <c r="H39" i="61" s="1"/>
  <c r="G88" i="52"/>
  <c r="G90" i="52" s="1"/>
  <c r="O53" i="52"/>
  <c r="O55" i="52" s="1"/>
  <c r="I53" i="52"/>
  <c r="S53" i="52" s="1"/>
  <c r="S34" i="52"/>
  <c r="N88" i="52"/>
  <c r="N90" i="52" s="1"/>
  <c r="N7" i="52"/>
  <c r="O18" i="61" s="1"/>
  <c r="O39" i="61" s="1"/>
  <c r="Q58" i="47"/>
  <c r="F88" i="52"/>
  <c r="F7" i="52"/>
  <c r="G18" i="61" s="1"/>
  <c r="P5" i="52"/>
  <c r="P7" i="52" s="1"/>
  <c r="P58" i="47"/>
  <c r="E36" i="32"/>
  <c r="F152" i="47"/>
  <c r="R58" i="47"/>
  <c r="J99" i="52"/>
  <c r="S147" i="47"/>
  <c r="K110" i="52"/>
  <c r="J40" i="32"/>
  <c r="J41" i="32" s="1"/>
  <c r="O147" i="47"/>
  <c r="Q100" i="52"/>
  <c r="Q102" i="52" s="1"/>
  <c r="C153" i="47"/>
  <c r="B46" i="32"/>
  <c r="S5" i="52"/>
  <c r="O5" i="52"/>
  <c r="O7" i="52" s="1"/>
  <c r="C88" i="52"/>
  <c r="C90" i="52" s="1"/>
  <c r="B37" i="32" s="1"/>
  <c r="C152" i="47"/>
  <c r="B36" i="32"/>
  <c r="D27" i="57"/>
  <c r="E73" i="60" s="1"/>
  <c r="C28" i="57"/>
  <c r="C91" i="52"/>
  <c r="C93" i="52" s="1"/>
  <c r="S65" i="56"/>
  <c r="O124" i="47"/>
  <c r="S124" i="47"/>
  <c r="S100" i="52"/>
  <c r="S19" i="52"/>
  <c r="Q28" i="56"/>
  <c r="M24" i="52"/>
  <c r="I56" i="39"/>
  <c r="H56" i="39"/>
  <c r="Q60" i="56"/>
  <c r="Q66" i="56" s="1"/>
  <c r="F91" i="52"/>
  <c r="F10" i="52"/>
  <c r="G19" i="61" s="1"/>
  <c r="S60" i="56"/>
  <c r="R60" i="56"/>
  <c r="R66" i="56" s="1"/>
  <c r="L66" i="56"/>
  <c r="L67" i="56" s="1"/>
  <c r="E91" i="52"/>
  <c r="E93" i="52" s="1"/>
  <c r="E10" i="52"/>
  <c r="F19" i="61" s="1"/>
  <c r="F40" i="61" s="1"/>
  <c r="G91" i="52"/>
  <c r="G93" i="52" s="1"/>
  <c r="G10" i="52"/>
  <c r="H19" i="61" s="1"/>
  <c r="H40" i="61" s="1"/>
  <c r="K91" i="52"/>
  <c r="K93" i="52" s="1"/>
  <c r="K10" i="52"/>
  <c r="L19" i="61" s="1"/>
  <c r="L40" i="61" s="1"/>
  <c r="F66" i="56"/>
  <c r="F67" i="56" s="1"/>
  <c r="P60" i="56"/>
  <c r="P66" i="56" s="1"/>
  <c r="BC54" i="36"/>
  <c r="BM54" i="36" s="1"/>
  <c r="S30" i="56"/>
  <c r="O60" i="56"/>
  <c r="O66" i="56" s="1"/>
  <c r="E24" i="52"/>
  <c r="F17" i="48"/>
  <c r="L105" i="52"/>
  <c r="Q76" i="52"/>
  <c r="Q79" i="52" s="1"/>
  <c r="I79" i="52"/>
  <c r="F105" i="52"/>
  <c r="K105" i="52"/>
  <c r="J31" i="32" s="1"/>
  <c r="H105" i="52"/>
  <c r="G31" i="32" s="1"/>
  <c r="M105" i="52"/>
  <c r="M64" i="56"/>
  <c r="F39" i="57"/>
  <c r="F6" i="62" s="1"/>
  <c r="F7" i="62" s="1"/>
  <c r="D76" i="52"/>
  <c r="E102" i="61" s="1"/>
  <c r="D29" i="57"/>
  <c r="E75" i="60" s="1"/>
  <c r="O75" i="52"/>
  <c r="D21" i="52"/>
  <c r="S75" i="52"/>
  <c r="J56" i="39"/>
  <c r="H24" i="52"/>
  <c r="I22" i="61" s="1"/>
  <c r="I43" i="61" s="1"/>
  <c r="G54" i="39"/>
  <c r="G55" i="39" s="1"/>
  <c r="G56" i="39" s="1"/>
  <c r="E54" i="39"/>
  <c r="E55" i="39" s="1"/>
  <c r="E56" i="39" s="1"/>
  <c r="J39" i="57"/>
  <c r="J6" i="62" s="1"/>
  <c r="J7" i="62" s="1"/>
  <c r="I9" i="57"/>
  <c r="J17" i="60" s="1"/>
  <c r="I22" i="52"/>
  <c r="Q21" i="52"/>
  <c r="I104" i="52"/>
  <c r="H7" i="32" s="1"/>
  <c r="H9" i="32" s="1"/>
  <c r="H14" i="32" s="1"/>
  <c r="P76" i="52"/>
  <c r="P79" i="52" s="1"/>
  <c r="J105" i="52"/>
  <c r="I31" i="32" s="1"/>
  <c r="L39" i="57"/>
  <c r="L6" i="62" s="1"/>
  <c r="P22" i="52"/>
  <c r="N76" i="52"/>
  <c r="O102" i="61" s="1"/>
  <c r="N29" i="57"/>
  <c r="N21" i="52"/>
  <c r="R75" i="52"/>
  <c r="O28" i="56"/>
  <c r="F22" i="48"/>
  <c r="F12" i="48"/>
  <c r="G64" i="56"/>
  <c r="G24" i="52"/>
  <c r="H22" i="61" s="1"/>
  <c r="H43" i="61" s="1"/>
  <c r="P28" i="56"/>
  <c r="C56" i="39"/>
  <c r="N46" i="39"/>
  <c r="N64" i="56"/>
  <c r="D64" i="56"/>
  <c r="L24" i="52"/>
  <c r="M22" i="61" s="1"/>
  <c r="R28" i="56"/>
  <c r="L64" i="56"/>
  <c r="S28" i="56"/>
  <c r="O6" i="22" s="1"/>
  <c r="J64" i="56"/>
  <c r="J24" i="52"/>
  <c r="K22" i="61" s="1"/>
  <c r="K43" i="61" s="1"/>
  <c r="N45" i="39"/>
  <c r="F27" i="48"/>
  <c r="R85" i="61" l="1"/>
  <c r="M154" i="47"/>
  <c r="G154" i="47"/>
  <c r="E14" i="32"/>
  <c r="F27" i="22" s="1"/>
  <c r="D41" i="32"/>
  <c r="E28" i="22" s="1"/>
  <c r="H154" i="47"/>
  <c r="E154" i="47"/>
  <c r="H48" i="32"/>
  <c r="I29" i="22" s="1"/>
  <c r="P8" i="52"/>
  <c r="P10" i="52" s="1"/>
  <c r="P27" i="52" s="1"/>
  <c r="H91" i="52"/>
  <c r="H93" i="52" s="1"/>
  <c r="G44" i="32" s="1"/>
  <c r="G45" i="32" s="1"/>
  <c r="H23" i="22" s="1"/>
  <c r="H29" i="22"/>
  <c r="H27" i="52"/>
  <c r="H28" i="52" s="1"/>
  <c r="D47" i="32"/>
  <c r="D48" i="32" s="1"/>
  <c r="E29" i="22" s="1"/>
  <c r="E7" i="63"/>
  <c r="C47" i="32"/>
  <c r="C48" i="32" s="1"/>
  <c r="D29" i="22" s="1"/>
  <c r="E6" i="63"/>
  <c r="O14" i="62"/>
  <c r="S14" i="62" s="1"/>
  <c r="U14" i="62" s="1"/>
  <c r="V14" i="62" s="1"/>
  <c r="M47" i="32"/>
  <c r="M48" i="32" s="1"/>
  <c r="E16" i="63"/>
  <c r="L40" i="32"/>
  <c r="L41" i="32" s="1"/>
  <c r="M28" i="22" s="1"/>
  <c r="F15" i="63"/>
  <c r="L47" i="32"/>
  <c r="L48" i="32" s="1"/>
  <c r="E15" i="63"/>
  <c r="K48" i="32"/>
  <c r="K40" i="32"/>
  <c r="K41" i="32" s="1"/>
  <c r="L28" i="22" s="1"/>
  <c r="F14" i="63"/>
  <c r="K154" i="47"/>
  <c r="J47" i="32"/>
  <c r="J48" i="32" s="1"/>
  <c r="K29" i="22" s="1"/>
  <c r="E13" i="63"/>
  <c r="I47" i="32"/>
  <c r="I48" i="32" s="1"/>
  <c r="E12" i="63"/>
  <c r="H40" i="32"/>
  <c r="H41" i="32" s="1"/>
  <c r="I28" i="22" s="1"/>
  <c r="F11" i="63"/>
  <c r="Q64" i="56"/>
  <c r="O4" i="22"/>
  <c r="T90" i="47"/>
  <c r="G40" i="32"/>
  <c r="G41" i="32" s="1"/>
  <c r="H28" i="22" s="1"/>
  <c r="F40" i="32"/>
  <c r="F41" i="32" s="1"/>
  <c r="G28" i="22" s="1"/>
  <c r="F9" i="63"/>
  <c r="E40" i="32"/>
  <c r="E41" i="32" s="1"/>
  <c r="F28" i="22" s="1"/>
  <c r="F8" i="63"/>
  <c r="E47" i="32"/>
  <c r="E48" i="32" s="1"/>
  <c r="E8" i="63"/>
  <c r="P67" i="56"/>
  <c r="R67" i="56"/>
  <c r="I154" i="47"/>
  <c r="P60" i="47"/>
  <c r="R60" i="47"/>
  <c r="O64" i="56"/>
  <c r="L154" i="47"/>
  <c r="P64" i="56"/>
  <c r="Q67" i="56"/>
  <c r="Q60" i="47"/>
  <c r="C154" i="47"/>
  <c r="O60" i="47"/>
  <c r="S59" i="47"/>
  <c r="T64" i="52"/>
  <c r="T28" i="56"/>
  <c r="T54" i="52"/>
  <c r="S31" i="56"/>
  <c r="T60" i="56"/>
  <c r="O67" i="56"/>
  <c r="S57" i="47"/>
  <c r="T40" i="52"/>
  <c r="T34" i="52"/>
  <c r="S102" i="52"/>
  <c r="T19" i="52"/>
  <c r="Q64" i="61"/>
  <c r="S55" i="52"/>
  <c r="J18" i="22"/>
  <c r="S36" i="57"/>
  <c r="T41" i="57" s="1"/>
  <c r="T14" i="57"/>
  <c r="T11" i="57"/>
  <c r="T13" i="57"/>
  <c r="T10" i="57"/>
  <c r="H32" i="22"/>
  <c r="D18" i="22"/>
  <c r="T143" i="47"/>
  <c r="T147" i="47"/>
  <c r="T139" i="47"/>
  <c r="T131" i="47"/>
  <c r="K18" i="22"/>
  <c r="I55" i="52"/>
  <c r="F16" i="62"/>
  <c r="P16" i="62" s="1"/>
  <c r="S16" i="62" s="1"/>
  <c r="U16" i="62" s="1"/>
  <c r="V16" i="62" s="1"/>
  <c r="S17" i="62"/>
  <c r="S12" i="62"/>
  <c r="U12" i="62" s="1"/>
  <c r="V12" i="62" s="1"/>
  <c r="Q87" i="52"/>
  <c r="O123" i="61"/>
  <c r="O126" i="61" s="1"/>
  <c r="O105" i="61"/>
  <c r="S105" i="61" s="1"/>
  <c r="S102" i="61"/>
  <c r="S123" i="61" s="1"/>
  <c r="S126" i="61" s="1"/>
  <c r="R151" i="47"/>
  <c r="K123" i="61"/>
  <c r="K126" i="61" s="1"/>
  <c r="K105" i="61"/>
  <c r="R105" i="61" s="1"/>
  <c r="H123" i="61"/>
  <c r="H126" i="61" s="1"/>
  <c r="H105" i="61"/>
  <c r="Q105" i="61" s="1"/>
  <c r="Q102" i="61"/>
  <c r="Q123" i="61" s="1"/>
  <c r="Q126" i="61" s="1"/>
  <c r="E105" i="61"/>
  <c r="P105" i="61" s="1"/>
  <c r="E123" i="61"/>
  <c r="E126" i="61" s="1"/>
  <c r="P102" i="61"/>
  <c r="P123" i="61" s="1"/>
  <c r="P126" i="61" s="1"/>
  <c r="T102" i="61"/>
  <c r="T123" i="61" s="1"/>
  <c r="T126" i="61" s="1"/>
  <c r="D9" i="32"/>
  <c r="D14" i="32" s="1"/>
  <c r="D16" i="32" s="1"/>
  <c r="D19" i="32" s="1"/>
  <c r="L9" i="32"/>
  <c r="L14" i="32" s="1"/>
  <c r="Q85" i="61"/>
  <c r="I32" i="32"/>
  <c r="J32" i="32"/>
  <c r="P104" i="52"/>
  <c r="F7" i="32"/>
  <c r="F9" i="32" s="1"/>
  <c r="F14" i="32" s="1"/>
  <c r="F16" i="32" s="1"/>
  <c r="F19" i="32" s="1"/>
  <c r="K9" i="32"/>
  <c r="K14" i="32" s="1"/>
  <c r="D151" i="47"/>
  <c r="D22" i="63" s="1"/>
  <c r="C10" i="32"/>
  <c r="C13" i="32" s="1"/>
  <c r="N8" i="32"/>
  <c r="D7" i="18" s="1"/>
  <c r="D12" i="18" s="1"/>
  <c r="F17" i="57"/>
  <c r="G44" i="60" s="1"/>
  <c r="K107" i="52"/>
  <c r="K108" i="52" s="1"/>
  <c r="D13" i="63" s="1"/>
  <c r="E18" i="57"/>
  <c r="F45" i="60" s="1"/>
  <c r="P45" i="60" s="1"/>
  <c r="P94" i="52"/>
  <c r="P96" i="52" s="1"/>
  <c r="S64" i="61"/>
  <c r="K44" i="61"/>
  <c r="O17" i="57"/>
  <c r="O97" i="52"/>
  <c r="O99" i="52" s="1"/>
  <c r="Q7" i="60"/>
  <c r="K25" i="52"/>
  <c r="T18" i="61"/>
  <c r="T39" i="61" s="1"/>
  <c r="R7" i="60"/>
  <c r="P44" i="60"/>
  <c r="T101" i="61"/>
  <c r="T122" i="61" s="1"/>
  <c r="R101" i="61"/>
  <c r="R122" i="61" s="1"/>
  <c r="R64" i="61"/>
  <c r="P39" i="61"/>
  <c r="Q97" i="52"/>
  <c r="Q99" i="52" s="1"/>
  <c r="H110" i="52"/>
  <c r="Q94" i="52"/>
  <c r="Q96" i="52" s="1"/>
  <c r="S85" i="61"/>
  <c r="J27" i="52"/>
  <c r="J28" i="52" s="1"/>
  <c r="K19" i="61"/>
  <c r="E37" i="61"/>
  <c r="T34" i="61"/>
  <c r="P34" i="61"/>
  <c r="K23" i="61"/>
  <c r="G40" i="61"/>
  <c r="Q19" i="61"/>
  <c r="Q40" i="61" s="1"/>
  <c r="R94" i="52"/>
  <c r="R96" i="52" s="1"/>
  <c r="S94" i="52"/>
  <c r="H44" i="61"/>
  <c r="I44" i="61"/>
  <c r="L23" i="61"/>
  <c r="L41" i="61"/>
  <c r="L44" i="61" s="1"/>
  <c r="G39" i="61"/>
  <c r="Q18" i="61"/>
  <c r="Q39" i="61" s="1"/>
  <c r="M43" i="61"/>
  <c r="M44" i="61" s="1"/>
  <c r="Q22" i="52"/>
  <c r="J20" i="61"/>
  <c r="E107" i="52"/>
  <c r="D33" i="32" s="1"/>
  <c r="D34" i="32" s="1"/>
  <c r="F22" i="61"/>
  <c r="M25" i="52"/>
  <c r="N22" i="61"/>
  <c r="S13" i="52"/>
  <c r="R18" i="61"/>
  <c r="R39" i="61" s="1"/>
  <c r="J39" i="61"/>
  <c r="S18" i="61"/>
  <c r="S39" i="61" s="1"/>
  <c r="M39" i="61"/>
  <c r="M40" i="61"/>
  <c r="F107" i="52"/>
  <c r="E33" i="32" s="1"/>
  <c r="G22" i="61"/>
  <c r="Q41" i="61"/>
  <c r="H23" i="61"/>
  <c r="I23" i="61"/>
  <c r="M23" i="61"/>
  <c r="J21" i="32"/>
  <c r="L7" i="62"/>
  <c r="C8" i="57"/>
  <c r="D16" i="60" s="1"/>
  <c r="D15" i="60"/>
  <c r="R17" i="60"/>
  <c r="C37" i="57"/>
  <c r="D74" i="60"/>
  <c r="P7" i="60"/>
  <c r="T7" i="60"/>
  <c r="R29" i="57"/>
  <c r="O75" i="60"/>
  <c r="S75" i="60" s="1"/>
  <c r="P9" i="57"/>
  <c r="P39" i="57" s="1"/>
  <c r="H17" i="60"/>
  <c r="Q17" i="60" s="1"/>
  <c r="P75" i="60"/>
  <c r="D7" i="57"/>
  <c r="E15" i="60" s="1"/>
  <c r="G105" i="52"/>
  <c r="F31" i="32" s="1"/>
  <c r="G39" i="57"/>
  <c r="G6" i="62" s="1"/>
  <c r="G7" i="62" s="1"/>
  <c r="B49" i="39"/>
  <c r="M10" i="52"/>
  <c r="N19" i="61" s="1"/>
  <c r="N40" i="61" s="1"/>
  <c r="N39" i="32"/>
  <c r="L31" i="32"/>
  <c r="T58" i="47"/>
  <c r="M93" i="52"/>
  <c r="L24" i="48" s="1"/>
  <c r="N24" i="48" s="1"/>
  <c r="Q152" i="47"/>
  <c r="Q154" i="47" s="1"/>
  <c r="T59" i="47"/>
  <c r="S135" i="47"/>
  <c r="C8" i="64" s="1"/>
  <c r="F25" i="52"/>
  <c r="O135" i="47"/>
  <c r="O153" i="47" s="1"/>
  <c r="L49" i="39"/>
  <c r="K51" i="39"/>
  <c r="N51" i="39" s="1"/>
  <c r="N12" i="32"/>
  <c r="N50" i="39"/>
  <c r="N11" i="32"/>
  <c r="S148" i="47"/>
  <c r="O148" i="47"/>
  <c r="O151" i="47" s="1"/>
  <c r="M110" i="52"/>
  <c r="L37" i="32"/>
  <c r="L38" i="32" s="1"/>
  <c r="E110" i="52"/>
  <c r="D32" i="22"/>
  <c r="R152" i="47"/>
  <c r="R154" i="47" s="1"/>
  <c r="K30" i="22"/>
  <c r="K26" i="52"/>
  <c r="D37" i="32"/>
  <c r="D38" i="32" s="1"/>
  <c r="K32" i="22"/>
  <c r="Q8" i="52"/>
  <c r="Q10" i="52" s="1"/>
  <c r="Q27" i="52" s="1"/>
  <c r="S8" i="52"/>
  <c r="R8" i="52"/>
  <c r="R10" i="52" s="1"/>
  <c r="R27" i="52" s="1"/>
  <c r="R92" i="52"/>
  <c r="J91" i="52"/>
  <c r="J93" i="52" s="1"/>
  <c r="M44" i="32"/>
  <c r="L25" i="48"/>
  <c r="N25" i="48" s="1"/>
  <c r="N111" i="52"/>
  <c r="L91" i="52"/>
  <c r="R91" i="52" s="1"/>
  <c r="C27" i="52"/>
  <c r="C28" i="52" s="1"/>
  <c r="Q12" i="57"/>
  <c r="Q42" i="57" s="1"/>
  <c r="S81" i="52"/>
  <c r="S92" i="52"/>
  <c r="C7" i="64" s="1"/>
  <c r="R12" i="57"/>
  <c r="R42" i="57" s="1"/>
  <c r="L42" i="57"/>
  <c r="T34" i="56"/>
  <c r="S12" i="57"/>
  <c r="H58" i="52"/>
  <c r="N27" i="52"/>
  <c r="D30" i="22"/>
  <c r="H30" i="22"/>
  <c r="S16" i="52"/>
  <c r="R97" i="52"/>
  <c r="R99" i="52" s="1"/>
  <c r="S88" i="52"/>
  <c r="O26" i="52"/>
  <c r="J30" i="22"/>
  <c r="J32" i="22"/>
  <c r="D10" i="52"/>
  <c r="E19" i="61" s="1"/>
  <c r="D91" i="52"/>
  <c r="D93" i="52" s="1"/>
  <c r="O8" i="52"/>
  <c r="O10" i="52" s="1"/>
  <c r="O27" i="52" s="1"/>
  <c r="C43" i="32"/>
  <c r="D153" i="47"/>
  <c r="D154" i="47" s="1"/>
  <c r="E43" i="32"/>
  <c r="F153" i="47"/>
  <c r="F154" i="47" s="1"/>
  <c r="G99" i="52"/>
  <c r="S97" i="52"/>
  <c r="M43" i="32"/>
  <c r="N153" i="47"/>
  <c r="N154" i="47" s="1"/>
  <c r="P97" i="52"/>
  <c r="P99" i="52" s="1"/>
  <c r="C110" i="52"/>
  <c r="F90" i="52"/>
  <c r="P88" i="52"/>
  <c r="P90" i="52" s="1"/>
  <c r="M37" i="32"/>
  <c r="M38" i="32" s="1"/>
  <c r="H25" i="48"/>
  <c r="J25" i="48" s="1"/>
  <c r="N110" i="52"/>
  <c r="L26" i="52"/>
  <c r="L90" i="52"/>
  <c r="R88" i="52"/>
  <c r="R90" i="52" s="1"/>
  <c r="S7" i="52"/>
  <c r="F37" i="32"/>
  <c r="F38" i="32" s="1"/>
  <c r="H14" i="48"/>
  <c r="J14" i="48" s="1"/>
  <c r="G110" i="52"/>
  <c r="I26" i="52"/>
  <c r="I28" i="52" s="1"/>
  <c r="P152" i="47"/>
  <c r="P154" i="47" s="1"/>
  <c r="N36" i="32"/>
  <c r="F26" i="52"/>
  <c r="N26" i="52"/>
  <c r="Q53" i="52"/>
  <c r="Q55" i="52" s="1"/>
  <c r="G26" i="52"/>
  <c r="Q88" i="52"/>
  <c r="Q90" i="52" s="1"/>
  <c r="I90" i="52"/>
  <c r="K28" i="22"/>
  <c r="N46" i="32"/>
  <c r="B48" i="32"/>
  <c r="O88" i="52"/>
  <c r="O90" i="52" s="1"/>
  <c r="H8" i="48"/>
  <c r="J8" i="48" s="1"/>
  <c r="J12" i="48" s="1"/>
  <c r="S152" i="47"/>
  <c r="O152" i="47"/>
  <c r="B38" i="32"/>
  <c r="E27" i="57"/>
  <c r="F73" i="60" s="1"/>
  <c r="P73" i="60" s="1"/>
  <c r="D28" i="57"/>
  <c r="E74" i="60" s="1"/>
  <c r="E25" i="52"/>
  <c r="M107" i="52"/>
  <c r="L33" i="32" s="1"/>
  <c r="N28" i="22"/>
  <c r="S66" i="56"/>
  <c r="L8" i="48"/>
  <c r="B44" i="32"/>
  <c r="C111" i="52"/>
  <c r="L27" i="52"/>
  <c r="K27" i="52"/>
  <c r="L14" i="48"/>
  <c r="N14" i="48" s="1"/>
  <c r="F44" i="32"/>
  <c r="F45" i="32" s="1"/>
  <c r="L20" i="48"/>
  <c r="N20" i="48" s="1"/>
  <c r="J44" i="32"/>
  <c r="J45" i="32" s="1"/>
  <c r="K111" i="52"/>
  <c r="K112" i="52" s="1"/>
  <c r="F27" i="52"/>
  <c r="E27" i="52"/>
  <c r="E28" i="52" s="1"/>
  <c r="F93" i="52"/>
  <c r="BE54" i="36"/>
  <c r="G27" i="52"/>
  <c r="L10" i="48"/>
  <c r="N10" i="48" s="1"/>
  <c r="D44" i="32"/>
  <c r="D45" i="32" s="1"/>
  <c r="E111" i="52"/>
  <c r="L18" i="48"/>
  <c r="I111" i="52"/>
  <c r="H44" i="32"/>
  <c r="H45" i="32" s="1"/>
  <c r="F28" i="48"/>
  <c r="F31" i="48" s="1"/>
  <c r="F33" i="48" s="1"/>
  <c r="F34" i="48" s="1"/>
  <c r="N79" i="52"/>
  <c r="R76" i="52"/>
  <c r="R79" i="52" s="1"/>
  <c r="D79" i="52"/>
  <c r="S76" i="52"/>
  <c r="O76" i="52"/>
  <c r="O79" i="52" s="1"/>
  <c r="J27" i="22"/>
  <c r="I21" i="32"/>
  <c r="I16" i="32"/>
  <c r="I19" i="32" s="1"/>
  <c r="I39" i="57"/>
  <c r="I6" i="62" s="1"/>
  <c r="Q9" i="57"/>
  <c r="Q39" i="57" s="1"/>
  <c r="H25" i="52"/>
  <c r="H107" i="52"/>
  <c r="D104" i="52"/>
  <c r="C7" i="32" s="1"/>
  <c r="C9" i="32" s="1"/>
  <c r="D9" i="57"/>
  <c r="E17" i="60" s="1"/>
  <c r="D22" i="52"/>
  <c r="E20" i="61" s="1"/>
  <c r="I24" i="52"/>
  <c r="N9" i="57"/>
  <c r="O17" i="60" s="1"/>
  <c r="S17" i="60" s="1"/>
  <c r="N22" i="52"/>
  <c r="O20" i="61" s="1"/>
  <c r="N104" i="52"/>
  <c r="M7" i="32" s="1"/>
  <c r="M9" i="32" s="1"/>
  <c r="M14" i="32" s="1"/>
  <c r="R21" i="52"/>
  <c r="I105" i="52"/>
  <c r="Q104" i="52"/>
  <c r="G21" i="32"/>
  <c r="H27" i="22"/>
  <c r="G16" i="32"/>
  <c r="G19" i="32" s="1"/>
  <c r="E31" i="32"/>
  <c r="O29" i="57"/>
  <c r="S29" i="57"/>
  <c r="T29" i="57" s="1"/>
  <c r="K31" i="32"/>
  <c r="B54" i="39"/>
  <c r="B55" i="39" s="1"/>
  <c r="B56" i="39" s="1"/>
  <c r="S64" i="56"/>
  <c r="R64" i="56"/>
  <c r="CQ28" i="26"/>
  <c r="G25" i="52"/>
  <c r="G107" i="52"/>
  <c r="P24" i="52"/>
  <c r="P25" i="52" s="1"/>
  <c r="J107" i="52"/>
  <c r="J25" i="52"/>
  <c r="CR28" i="26"/>
  <c r="L107" i="52"/>
  <c r="L25" i="52"/>
  <c r="N29" i="22" l="1"/>
  <c r="C38" i="57"/>
  <c r="T75" i="60"/>
  <c r="H3" i="22"/>
  <c r="H31" i="22"/>
  <c r="H111" i="52"/>
  <c r="H112" i="52" s="1"/>
  <c r="H2" i="22"/>
  <c r="G26" i="39"/>
  <c r="G17" i="39" s="1"/>
  <c r="L15" i="48"/>
  <c r="N15" i="48" s="1"/>
  <c r="H17" i="22"/>
  <c r="P91" i="52"/>
  <c r="P93" i="52" s="1"/>
  <c r="P111" i="52" s="1"/>
  <c r="L29" i="22"/>
  <c r="E26" i="22"/>
  <c r="H18" i="22"/>
  <c r="F29" i="22"/>
  <c r="M29" i="22"/>
  <c r="K28" i="52"/>
  <c r="N40" i="32"/>
  <c r="N41" i="32" s="1"/>
  <c r="O28" i="22" s="1"/>
  <c r="T43" i="57"/>
  <c r="F47" i="32"/>
  <c r="F48" i="32" s="1"/>
  <c r="E9" i="63"/>
  <c r="U17" i="62"/>
  <c r="V17" i="62" s="1"/>
  <c r="C3" i="64"/>
  <c r="S19" i="62"/>
  <c r="G28" i="52"/>
  <c r="T40" i="57"/>
  <c r="O154" i="47"/>
  <c r="O28" i="52"/>
  <c r="T53" i="52"/>
  <c r="T55" i="52" s="1"/>
  <c r="S153" i="47"/>
  <c r="T135" i="47"/>
  <c r="T153" i="47" s="1"/>
  <c r="S60" i="47"/>
  <c r="S79" i="52"/>
  <c r="T64" i="56"/>
  <c r="S82" i="52"/>
  <c r="S67" i="56"/>
  <c r="S151" i="47"/>
  <c r="T57" i="47"/>
  <c r="S96" i="52"/>
  <c r="T96" i="52" s="1"/>
  <c r="T13" i="52"/>
  <c r="T7" i="52"/>
  <c r="S90" i="52"/>
  <c r="T102" i="52"/>
  <c r="S99" i="52"/>
  <c r="T16" i="52"/>
  <c r="L28" i="52"/>
  <c r="T44" i="57"/>
  <c r="E2" i="22"/>
  <c r="E25" i="22"/>
  <c r="E23" i="22"/>
  <c r="E17" i="22"/>
  <c r="H24" i="22"/>
  <c r="H20" i="22"/>
  <c r="G25" i="39" s="1"/>
  <c r="H21" i="22"/>
  <c r="H19" i="22"/>
  <c r="H26" i="22"/>
  <c r="C18" i="22"/>
  <c r="N18" i="22"/>
  <c r="E18" i="22"/>
  <c r="E20" i="22"/>
  <c r="D25" i="39" s="1"/>
  <c r="E19" i="22"/>
  <c r="E24" i="22"/>
  <c r="E21" i="22"/>
  <c r="J19" i="22"/>
  <c r="J24" i="22"/>
  <c r="J21" i="22"/>
  <c r="J20" i="22"/>
  <c r="I25" i="39" s="1"/>
  <c r="E112" i="52"/>
  <c r="F28" i="52"/>
  <c r="G2" i="22"/>
  <c r="G25" i="22"/>
  <c r="G23" i="22"/>
  <c r="C112" i="52"/>
  <c r="G18" i="22"/>
  <c r="S42" i="57"/>
  <c r="T42" i="57" s="1"/>
  <c r="T12" i="57"/>
  <c r="M32" i="22"/>
  <c r="M18" i="22"/>
  <c r="T60" i="47"/>
  <c r="H25" i="22"/>
  <c r="I2" i="22"/>
  <c r="I17" i="22"/>
  <c r="N112" i="52"/>
  <c r="G24" i="22"/>
  <c r="G21" i="22"/>
  <c r="G20" i="22"/>
  <c r="F25" i="39" s="1"/>
  <c r="G19" i="22"/>
  <c r="K2" i="22"/>
  <c r="K23" i="22"/>
  <c r="K17" i="22"/>
  <c r="J26" i="22"/>
  <c r="N28" i="52"/>
  <c r="T105" i="61"/>
  <c r="R87" i="52"/>
  <c r="S87" i="52"/>
  <c r="C29" i="22"/>
  <c r="J33" i="32"/>
  <c r="J34" i="32" s="1"/>
  <c r="C14" i="32"/>
  <c r="G17" i="57"/>
  <c r="H44" i="60" s="1"/>
  <c r="N32" i="32"/>
  <c r="F18" i="57"/>
  <c r="G45" i="60" s="1"/>
  <c r="F108" i="52"/>
  <c r="D8" i="63" s="1"/>
  <c r="O18" i="57"/>
  <c r="P105" i="52"/>
  <c r="E34" i="32"/>
  <c r="J16" i="32"/>
  <c r="J19" i="32" s="1"/>
  <c r="E108" i="52"/>
  <c r="D7" i="63" s="1"/>
  <c r="K27" i="22"/>
  <c r="I107" i="52"/>
  <c r="Q107" i="52" s="1"/>
  <c r="J22" i="61"/>
  <c r="J23" i="61" s="1"/>
  <c r="R23" i="61" s="1"/>
  <c r="O41" i="61"/>
  <c r="S20" i="61"/>
  <c r="S41" i="61" s="1"/>
  <c r="G43" i="61"/>
  <c r="G44" i="61" s="1"/>
  <c r="Q22" i="61"/>
  <c r="Q43" i="61" s="1"/>
  <c r="Q44" i="61" s="1"/>
  <c r="G23" i="61"/>
  <c r="Q23" i="61" s="1"/>
  <c r="E7" i="57"/>
  <c r="F15" i="60" s="1"/>
  <c r="P15" i="60" s="1"/>
  <c r="N43" i="61"/>
  <c r="N44" i="61" s="1"/>
  <c r="N23" i="61"/>
  <c r="R20" i="61"/>
  <c r="R41" i="61" s="1"/>
  <c r="J41" i="61"/>
  <c r="P37" i="61"/>
  <c r="T37" i="61"/>
  <c r="E40" i="61"/>
  <c r="T19" i="61"/>
  <c r="T40" i="61" s="1"/>
  <c r="P19" i="61"/>
  <c r="P40" i="61" s="1"/>
  <c r="S19" i="61"/>
  <c r="S40" i="61" s="1"/>
  <c r="K40" i="61"/>
  <c r="R19" i="61"/>
  <c r="R40" i="61" s="1"/>
  <c r="E41" i="61"/>
  <c r="F43" i="61"/>
  <c r="F44" i="61" s="1"/>
  <c r="F23" i="61"/>
  <c r="G27" i="22"/>
  <c r="F21" i="32"/>
  <c r="D37" i="57"/>
  <c r="I7" i="62"/>
  <c r="Q7" i="62" s="1"/>
  <c r="Q6" i="62"/>
  <c r="D8" i="57"/>
  <c r="E16" i="60" s="1"/>
  <c r="E27" i="22"/>
  <c r="D21" i="32"/>
  <c r="M27" i="52"/>
  <c r="M28" i="52" s="1"/>
  <c r="L34" i="32"/>
  <c r="M111" i="52"/>
  <c r="M112" i="52" s="1"/>
  <c r="L44" i="32"/>
  <c r="L45" i="32" s="1"/>
  <c r="O110" i="52"/>
  <c r="L16" i="32"/>
  <c r="L19" i="32" s="1"/>
  <c r="L21" i="32"/>
  <c r="M27" i="22"/>
  <c r="K21" i="32"/>
  <c r="K16" i="32"/>
  <c r="K19" i="32" s="1"/>
  <c r="L27" i="22"/>
  <c r="C49" i="39"/>
  <c r="N49" i="39" s="1"/>
  <c r="N13" i="32"/>
  <c r="N10" i="32"/>
  <c r="M30" i="22"/>
  <c r="M45" i="32"/>
  <c r="Q26" i="52"/>
  <c r="Q28" i="52" s="1"/>
  <c r="E21" i="32"/>
  <c r="L93" i="52"/>
  <c r="K44" i="32" s="1"/>
  <c r="K45" i="32" s="1"/>
  <c r="E16" i="32"/>
  <c r="E19" i="32" s="1"/>
  <c r="E32" i="22"/>
  <c r="E30" i="22"/>
  <c r="Q91" i="52"/>
  <c r="Q93" i="52" s="1"/>
  <c r="Q111" i="52" s="1"/>
  <c r="R93" i="52"/>
  <c r="R111" i="52" s="1"/>
  <c r="I44" i="32"/>
  <c r="I45" i="32" s="1"/>
  <c r="L19" i="48"/>
  <c r="N19" i="48" s="1"/>
  <c r="P58" i="52"/>
  <c r="J111" i="52"/>
  <c r="J112" i="52" s="1"/>
  <c r="I58" i="52"/>
  <c r="H12" i="48"/>
  <c r="S26" i="52"/>
  <c r="M108" i="52"/>
  <c r="D15" i="63" s="1"/>
  <c r="N43" i="32"/>
  <c r="O91" i="52"/>
  <c r="O93" i="52" s="1"/>
  <c r="O111" i="52" s="1"/>
  <c r="D27" i="52"/>
  <c r="D28" i="52" s="1"/>
  <c r="S10" i="52"/>
  <c r="S91" i="52"/>
  <c r="C6" i="64" s="1"/>
  <c r="C9" i="64" s="1"/>
  <c r="L9" i="48"/>
  <c r="N9" i="48" s="1"/>
  <c r="C44" i="32"/>
  <c r="C45" i="32" s="1"/>
  <c r="D111" i="52"/>
  <c r="D112" i="52" s="1"/>
  <c r="G111" i="52"/>
  <c r="G112" i="52" s="1"/>
  <c r="G30" i="22"/>
  <c r="G32" i="22"/>
  <c r="L110" i="52"/>
  <c r="R110" i="52" s="1"/>
  <c r="H23" i="48"/>
  <c r="K37" i="32"/>
  <c r="K38" i="32" s="1"/>
  <c r="N30" i="22"/>
  <c r="N32" i="22"/>
  <c r="H18" i="48"/>
  <c r="I110" i="52"/>
  <c r="Q110" i="52" s="1"/>
  <c r="H37" i="32"/>
  <c r="H38" i="32" s="1"/>
  <c r="P26" i="52"/>
  <c r="P28" i="52" s="1"/>
  <c r="R26" i="52"/>
  <c r="R28" i="52" s="1"/>
  <c r="E37" i="32"/>
  <c r="F110" i="52"/>
  <c r="P110" i="52" s="1"/>
  <c r="H13" i="48"/>
  <c r="I25" i="52"/>
  <c r="J29" i="22"/>
  <c r="T152" i="47"/>
  <c r="C30" i="22"/>
  <c r="C32" i="22"/>
  <c r="F27" i="57"/>
  <c r="G73" i="60" s="1"/>
  <c r="E28" i="57"/>
  <c r="F74" i="60" s="1"/>
  <c r="P74" i="60" s="1"/>
  <c r="O27" i="57"/>
  <c r="H26" i="39"/>
  <c r="I31" i="22"/>
  <c r="I3" i="22"/>
  <c r="E31" i="22"/>
  <c r="D26" i="39"/>
  <c r="D17" i="39" s="1"/>
  <c r="E3" i="22"/>
  <c r="N8" i="48"/>
  <c r="K3" i="22"/>
  <c r="J26" i="39"/>
  <c r="K31" i="22"/>
  <c r="N18" i="48"/>
  <c r="E44" i="32"/>
  <c r="E45" i="32" s="1"/>
  <c r="F111" i="52"/>
  <c r="L13" i="48"/>
  <c r="G3" i="22"/>
  <c r="F26" i="39"/>
  <c r="F17" i="39" s="1"/>
  <c r="G31" i="22"/>
  <c r="B45" i="32"/>
  <c r="Q24" i="52"/>
  <c r="Q25" i="52" s="1"/>
  <c r="N105" i="52"/>
  <c r="R104" i="52"/>
  <c r="D105" i="52"/>
  <c r="N54" i="39"/>
  <c r="N55" i="39" s="1"/>
  <c r="N56" i="39" s="1"/>
  <c r="H31" i="32"/>
  <c r="Q105" i="52"/>
  <c r="R22" i="52"/>
  <c r="N24" i="52"/>
  <c r="H108" i="52"/>
  <c r="D10" i="63" s="1"/>
  <c r="G33" i="32"/>
  <c r="G34" i="32" s="1"/>
  <c r="I27" i="22"/>
  <c r="H21" i="32"/>
  <c r="H16" i="32"/>
  <c r="H19" i="32" s="1"/>
  <c r="N39" i="57"/>
  <c r="N6" i="62" s="1"/>
  <c r="R9" i="57"/>
  <c r="R39" i="57" s="1"/>
  <c r="D24" i="52"/>
  <c r="E22" i="61" s="1"/>
  <c r="E43" i="61" s="1"/>
  <c r="D39" i="57"/>
  <c r="D6" i="62" s="1"/>
  <c r="L108" i="52"/>
  <c r="D14" i="63" s="1"/>
  <c r="K33" i="32"/>
  <c r="K34" i="32" s="1"/>
  <c r="I33" i="32"/>
  <c r="I34" i="32" s="1"/>
  <c r="J108" i="52"/>
  <c r="D12" i="63" s="1"/>
  <c r="F33" i="32"/>
  <c r="F34" i="32" s="1"/>
  <c r="G108" i="52"/>
  <c r="D9" i="63" s="1"/>
  <c r="P107" i="52"/>
  <c r="G26" i="22" l="1"/>
  <c r="G17" i="22"/>
  <c r="N47" i="32"/>
  <c r="G29" i="22"/>
  <c r="N48" i="32"/>
  <c r="B8" i="64"/>
  <c r="T87" i="52"/>
  <c r="S154" i="47"/>
  <c r="T79" i="52"/>
  <c r="T151" i="47"/>
  <c r="T90" i="52"/>
  <c r="T110" i="52" s="1"/>
  <c r="T26" i="52"/>
  <c r="T99" i="52"/>
  <c r="S93" i="52"/>
  <c r="F112" i="52"/>
  <c r="Q112" i="52"/>
  <c r="I32" i="22"/>
  <c r="I18" i="22"/>
  <c r="J2" i="22"/>
  <c r="J25" i="22"/>
  <c r="J23" i="22"/>
  <c r="J17" i="22"/>
  <c r="I23" i="22"/>
  <c r="I20" i="22"/>
  <c r="H25" i="39" s="1"/>
  <c r="I21" i="22"/>
  <c r="I19" i="22"/>
  <c r="I24" i="22"/>
  <c r="I26" i="22"/>
  <c r="C17" i="22"/>
  <c r="C23" i="22"/>
  <c r="L18" i="22"/>
  <c r="O112" i="52"/>
  <c r="R112" i="52"/>
  <c r="F24" i="22"/>
  <c r="F20" i="22"/>
  <c r="E25" i="39" s="1"/>
  <c r="F26" i="22"/>
  <c r="N2" i="22"/>
  <c r="N23" i="22"/>
  <c r="N17" i="22"/>
  <c r="L24" i="22"/>
  <c r="L20" i="22"/>
  <c r="K25" i="39" s="1"/>
  <c r="L21" i="22"/>
  <c r="L19" i="22"/>
  <c r="L26" i="22"/>
  <c r="M20" i="22"/>
  <c r="L25" i="39" s="1"/>
  <c r="M24" i="22"/>
  <c r="M21" i="22"/>
  <c r="M19" i="22"/>
  <c r="M26" i="22"/>
  <c r="I112" i="52"/>
  <c r="I25" i="22"/>
  <c r="L2" i="22"/>
  <c r="L25" i="22"/>
  <c r="L23" i="22"/>
  <c r="L17" i="22"/>
  <c r="F2" i="22"/>
  <c r="F25" i="22"/>
  <c r="F17" i="22"/>
  <c r="D2" i="22"/>
  <c r="D23" i="22"/>
  <c r="D17" i="22"/>
  <c r="S27" i="52"/>
  <c r="T10" i="52"/>
  <c r="T27" i="52" s="1"/>
  <c r="P112" i="52"/>
  <c r="T154" i="47"/>
  <c r="M2" i="22"/>
  <c r="M23" i="22"/>
  <c r="M17" i="22"/>
  <c r="M25" i="22"/>
  <c r="K24" i="22"/>
  <c r="K21" i="22"/>
  <c r="K19" i="22"/>
  <c r="K20" i="22"/>
  <c r="J25" i="39" s="1"/>
  <c r="K26" i="22"/>
  <c r="K25" i="22"/>
  <c r="D8" i="18"/>
  <c r="C2" i="22"/>
  <c r="N45" i="32"/>
  <c r="G18" i="57"/>
  <c r="H45" i="60" s="1"/>
  <c r="H17" i="57"/>
  <c r="I44" i="60" s="1"/>
  <c r="Q44" i="60" s="1"/>
  <c r="P108" i="52"/>
  <c r="O7" i="57"/>
  <c r="E37" i="57"/>
  <c r="O37" i="57" s="1"/>
  <c r="E8" i="57"/>
  <c r="O8" i="57" s="1"/>
  <c r="F7" i="57"/>
  <c r="G15" i="60" s="1"/>
  <c r="H33" i="32"/>
  <c r="H34" i="32" s="1"/>
  <c r="I108" i="52"/>
  <c r="D11" i="63" s="1"/>
  <c r="N25" i="52"/>
  <c r="O22" i="61"/>
  <c r="E44" i="61"/>
  <c r="J43" i="61"/>
  <c r="J44" i="61" s="1"/>
  <c r="R22" i="61"/>
  <c r="R43" i="61" s="1"/>
  <c r="R44" i="61" s="1"/>
  <c r="D38" i="57"/>
  <c r="E23" i="61"/>
  <c r="N7" i="62"/>
  <c r="R7" i="62" s="1"/>
  <c r="R6" i="62"/>
  <c r="P6" i="62"/>
  <c r="D7" i="62"/>
  <c r="P7" i="62" s="1"/>
  <c r="N3" i="22"/>
  <c r="Q31" i="52"/>
  <c r="L26" i="39"/>
  <c r="M31" i="22"/>
  <c r="M3" i="22"/>
  <c r="M26" i="39"/>
  <c r="Q108" i="52"/>
  <c r="N31" i="22"/>
  <c r="L23" i="48"/>
  <c r="N23" i="48" s="1"/>
  <c r="N27" i="48" s="1"/>
  <c r="L111" i="52"/>
  <c r="L112" i="52" s="1"/>
  <c r="N22" i="48"/>
  <c r="J58" i="52"/>
  <c r="I26" i="39"/>
  <c r="J3" i="22"/>
  <c r="J31" i="22"/>
  <c r="L22" i="48"/>
  <c r="N12" i="48"/>
  <c r="L12" i="48"/>
  <c r="S110" i="52"/>
  <c r="D3" i="22"/>
  <c r="D31" i="22"/>
  <c r="C26" i="39"/>
  <c r="C17" i="39" s="1"/>
  <c r="J13" i="48"/>
  <c r="J17" i="48" s="1"/>
  <c r="H17" i="48"/>
  <c r="L32" i="22"/>
  <c r="L30" i="22"/>
  <c r="J23" i="48"/>
  <c r="J27" i="48" s="1"/>
  <c r="H27" i="48"/>
  <c r="I30" i="22"/>
  <c r="E38" i="32"/>
  <c r="N37" i="32"/>
  <c r="J18" i="48"/>
  <c r="J22" i="48" s="1"/>
  <c r="H22" i="48"/>
  <c r="O28" i="57"/>
  <c r="F28" i="57"/>
  <c r="G74" i="60" s="1"/>
  <c r="G27" i="57"/>
  <c r="H73" i="60" s="1"/>
  <c r="N13" i="48"/>
  <c r="N17" i="48" s="1"/>
  <c r="L17" i="48"/>
  <c r="K26" i="39"/>
  <c r="L3" i="22"/>
  <c r="L31" i="22"/>
  <c r="N44" i="32"/>
  <c r="B26" i="39"/>
  <c r="B17" i="39" s="1"/>
  <c r="C3" i="22"/>
  <c r="C31" i="22"/>
  <c r="F31" i="22"/>
  <c r="F3" i="22"/>
  <c r="E26" i="39"/>
  <c r="E17" i="39" s="1"/>
  <c r="D107" i="52"/>
  <c r="D25" i="52"/>
  <c r="R24" i="52"/>
  <c r="R25" i="52" s="1"/>
  <c r="N107" i="52"/>
  <c r="M31" i="32"/>
  <c r="R105" i="52"/>
  <c r="C31" i="32"/>
  <c r="N27" i="22"/>
  <c r="M21" i="32"/>
  <c r="M16" i="32"/>
  <c r="M19" i="32" s="1"/>
  <c r="N25" i="22" s="1"/>
  <c r="O29" i="22" l="1"/>
  <c r="T28" i="52"/>
  <c r="T93" i="52"/>
  <c r="T111" i="52" s="1"/>
  <c r="T112" i="52" s="1"/>
  <c r="S111" i="52"/>
  <c r="S28" i="52"/>
  <c r="N38" i="32"/>
  <c r="O23" i="22" s="1"/>
  <c r="F18" i="22"/>
  <c r="F19" i="22"/>
  <c r="N19" i="22"/>
  <c r="N21" i="22"/>
  <c r="N20" i="22"/>
  <c r="M25" i="39" s="1"/>
  <c r="N24" i="22"/>
  <c r="N26" i="22"/>
  <c r="F21" i="22"/>
  <c r="F23" i="22"/>
  <c r="O17" i="22"/>
  <c r="O2" i="22"/>
  <c r="S85" i="52"/>
  <c r="H18" i="57"/>
  <c r="P18" i="57" s="1"/>
  <c r="E38" i="57"/>
  <c r="O38" i="57" s="1"/>
  <c r="F16" i="60"/>
  <c r="P16" i="60" s="1"/>
  <c r="P17" i="57"/>
  <c r="I17" i="57"/>
  <c r="J44" i="60" s="1"/>
  <c r="F37" i="57"/>
  <c r="F8" i="57"/>
  <c r="G16" i="60" s="1"/>
  <c r="G7" i="57"/>
  <c r="H15" i="60" s="1"/>
  <c r="O43" i="61"/>
  <c r="O44" i="61" s="1"/>
  <c r="S22" i="61"/>
  <c r="S43" i="61" s="1"/>
  <c r="S44" i="61" s="1"/>
  <c r="O23" i="61"/>
  <c r="S23" i="61" s="1"/>
  <c r="L27" i="48"/>
  <c r="L28" i="48" s="1"/>
  <c r="K58" i="52"/>
  <c r="Q46" i="56"/>
  <c r="F32" i="22"/>
  <c r="F30" i="22"/>
  <c r="H28" i="48"/>
  <c r="J28" i="48"/>
  <c r="N28" i="48"/>
  <c r="G28" i="57"/>
  <c r="H74" i="60" s="1"/>
  <c r="H27" i="57"/>
  <c r="I73" i="60" s="1"/>
  <c r="Q73" i="60" s="1"/>
  <c r="N26" i="39"/>
  <c r="N17" i="39" s="1"/>
  <c r="O31" i="22"/>
  <c r="O3" i="22"/>
  <c r="C33" i="32"/>
  <c r="D108" i="52"/>
  <c r="D6" i="63" s="1"/>
  <c r="R107" i="52"/>
  <c r="R108" i="52" s="1"/>
  <c r="N108" i="52"/>
  <c r="D16" i="63" s="1"/>
  <c r="M33" i="32"/>
  <c r="M34" i="32" s="1"/>
  <c r="D27" i="22"/>
  <c r="C21" i="32"/>
  <c r="C16" i="32"/>
  <c r="T85" i="52" l="1"/>
  <c r="O30" i="22"/>
  <c r="O32" i="22"/>
  <c r="S112" i="52"/>
  <c r="O18" i="22"/>
  <c r="I45" i="60"/>
  <c r="Q45" i="60" s="1"/>
  <c r="F38" i="57"/>
  <c r="I18" i="57"/>
  <c r="J45" i="60" s="1"/>
  <c r="G37" i="57"/>
  <c r="J17" i="57"/>
  <c r="K44" i="60" s="1"/>
  <c r="H7" i="57"/>
  <c r="I15" i="60" s="1"/>
  <c r="Q15" i="60" s="1"/>
  <c r="G8" i="57"/>
  <c r="H16" i="60" s="1"/>
  <c r="L58" i="52"/>
  <c r="Q58" i="52"/>
  <c r="P27" i="57"/>
  <c r="H28" i="57"/>
  <c r="I74" i="60" s="1"/>
  <c r="Q74" i="60" s="1"/>
  <c r="I27" i="57"/>
  <c r="J73" i="60" s="1"/>
  <c r="C34" i="32"/>
  <c r="C19" i="32"/>
  <c r="D21" i="22" l="1"/>
  <c r="D19" i="22"/>
  <c r="D20" i="22"/>
  <c r="C25" i="39" s="1"/>
  <c r="D24" i="22"/>
  <c r="D26" i="22"/>
  <c r="D25" i="22"/>
  <c r="H37" i="57"/>
  <c r="P37" i="57" s="1"/>
  <c r="H8" i="57"/>
  <c r="P8" i="57" s="1"/>
  <c r="P7" i="57"/>
  <c r="J18" i="57"/>
  <c r="K45" i="60" s="1"/>
  <c r="I7" i="57"/>
  <c r="J15" i="60" s="1"/>
  <c r="K17" i="57"/>
  <c r="L44" i="60" s="1"/>
  <c r="R44" i="60" s="1"/>
  <c r="G38" i="57"/>
  <c r="S31" i="52"/>
  <c r="R31" i="52"/>
  <c r="M58" i="52"/>
  <c r="R46" i="56"/>
  <c r="J27" i="57"/>
  <c r="K73" i="60" s="1"/>
  <c r="I28" i="57"/>
  <c r="J74" i="60" s="1"/>
  <c r="P28" i="57"/>
  <c r="T31" i="52" l="1"/>
  <c r="K18" i="57"/>
  <c r="L45" i="60" s="1"/>
  <c r="R45" i="60" s="1"/>
  <c r="I37" i="57"/>
  <c r="J7" i="57"/>
  <c r="K15" i="60" s="1"/>
  <c r="I8" i="57"/>
  <c r="J16" i="60" s="1"/>
  <c r="Q17" i="57"/>
  <c r="L17" i="57"/>
  <c r="M44" i="60" s="1"/>
  <c r="I16" i="60"/>
  <c r="Q16" i="60" s="1"/>
  <c r="H38" i="57"/>
  <c r="P38" i="57" s="1"/>
  <c r="N58" i="52"/>
  <c r="S46" i="56"/>
  <c r="K27" i="57"/>
  <c r="L73" i="60" s="1"/>
  <c r="R73" i="60" s="1"/>
  <c r="J28" i="57"/>
  <c r="Q18" i="57" l="1"/>
  <c r="J37" i="57"/>
  <c r="I38" i="57"/>
  <c r="J8" i="57"/>
  <c r="K16" i="60" s="1"/>
  <c r="K7" i="57"/>
  <c r="L15" i="60" s="1"/>
  <c r="R15" i="60" s="1"/>
  <c r="M17" i="57"/>
  <c r="N44" i="60" s="1"/>
  <c r="L18" i="57"/>
  <c r="M45" i="60" s="1"/>
  <c r="K74" i="60"/>
  <c r="T46" i="56"/>
  <c r="S58" i="52"/>
  <c r="R58" i="52"/>
  <c r="L7" i="57"/>
  <c r="M15" i="60" s="1"/>
  <c r="L27" i="57"/>
  <c r="M73" i="60" s="1"/>
  <c r="K28" i="57"/>
  <c r="L74" i="60" s="1"/>
  <c r="Q27" i="57"/>
  <c r="T58" i="52" l="1"/>
  <c r="K37" i="57"/>
  <c r="Q37" i="57" s="1"/>
  <c r="Q7" i="57"/>
  <c r="K8" i="57"/>
  <c r="K38" i="57" s="1"/>
  <c r="M18" i="57"/>
  <c r="N45" i="60" s="1"/>
  <c r="J38" i="57"/>
  <c r="N17" i="57"/>
  <c r="R17" i="57" s="1"/>
  <c r="R74" i="60"/>
  <c r="M7" i="57"/>
  <c r="N15" i="60" s="1"/>
  <c r="L8" i="57"/>
  <c r="M16" i="60" s="1"/>
  <c r="Q28" i="57"/>
  <c r="M27" i="57"/>
  <c r="N73" i="60" s="1"/>
  <c r="L28" i="57"/>
  <c r="M74" i="60" s="1"/>
  <c r="L37" i="57"/>
  <c r="Q8" i="57" l="1"/>
  <c r="L16" i="60"/>
  <c r="R16" i="60" s="1"/>
  <c r="S17" i="57"/>
  <c r="O44" i="60"/>
  <c r="S44" i="60" s="1"/>
  <c r="T44" i="60" s="1"/>
  <c r="N18" i="57"/>
  <c r="O45" i="60" s="1"/>
  <c r="Q38" i="57"/>
  <c r="L38" i="57"/>
  <c r="M8" i="57"/>
  <c r="N16" i="60" s="1"/>
  <c r="N7" i="57"/>
  <c r="O15" i="60" s="1"/>
  <c r="S15" i="60" s="1"/>
  <c r="T15" i="60" s="1"/>
  <c r="N27" i="57"/>
  <c r="M28" i="57"/>
  <c r="N74" i="60" s="1"/>
  <c r="M37" i="57"/>
  <c r="R18" i="57" l="1"/>
  <c r="S18" i="57" s="1"/>
  <c r="T45" i="60"/>
  <c r="S45" i="60"/>
  <c r="S27" i="57"/>
  <c r="O73" i="60"/>
  <c r="S73" i="60" s="1"/>
  <c r="T73" i="60" s="1"/>
  <c r="M38" i="57"/>
  <c r="R7" i="57"/>
  <c r="N8" i="57"/>
  <c r="S7" i="57"/>
  <c r="R27" i="57"/>
  <c r="N28" i="57"/>
  <c r="O74" i="60" s="1"/>
  <c r="T74" i="60" s="1"/>
  <c r="N37" i="57"/>
  <c r="S37" i="57" s="1"/>
  <c r="S74" i="60" l="1"/>
  <c r="R8" i="57"/>
  <c r="S8" i="57" s="1"/>
  <c r="O16" i="60"/>
  <c r="R28" i="57"/>
  <c r="S28" i="57" s="1"/>
  <c r="N38" i="57"/>
  <c r="R37" i="57"/>
  <c r="T16" i="60" l="1"/>
  <c r="S16" i="60"/>
  <c r="S38" i="57"/>
  <c r="R38" i="57"/>
  <c r="S48" i="52"/>
  <c r="O48" i="52"/>
  <c r="C49" i="52"/>
  <c r="C19" i="57"/>
  <c r="C21" i="52"/>
  <c r="C22" i="52" s="1"/>
  <c r="D20" i="61" s="1"/>
  <c r="P20" i="61" l="1"/>
  <c r="P41" i="61" s="1"/>
  <c r="T20" i="61"/>
  <c r="T41" i="61" s="1"/>
  <c r="D41" i="61"/>
  <c r="D61" i="61"/>
  <c r="O19" i="57"/>
  <c r="D46" i="60"/>
  <c r="O22" i="52"/>
  <c r="C24" i="52"/>
  <c r="D22" i="61" s="1"/>
  <c r="D23" i="61" s="1"/>
  <c r="S22" i="52"/>
  <c r="C51" i="52"/>
  <c r="D63" i="61" s="1"/>
  <c r="S49" i="52"/>
  <c r="O49" i="52"/>
  <c r="C104" i="52"/>
  <c r="O21" i="52"/>
  <c r="C9" i="57"/>
  <c r="D17" i="60" s="1"/>
  <c r="S21" i="52"/>
  <c r="S19" i="57"/>
  <c r="T19" i="57" s="1"/>
  <c r="D84" i="61" l="1"/>
  <c r="P63" i="61"/>
  <c r="P84" i="61" s="1"/>
  <c r="T63" i="61"/>
  <c r="T84" i="61" s="1"/>
  <c r="T23" i="61"/>
  <c r="P23" i="61"/>
  <c r="D43" i="61"/>
  <c r="D44" i="61" s="1"/>
  <c r="T22" i="61"/>
  <c r="T43" i="61" s="1"/>
  <c r="T44" i="61" s="1"/>
  <c r="P22" i="61"/>
  <c r="P43" i="61" s="1"/>
  <c r="P44" i="61" s="1"/>
  <c r="D78" i="61"/>
  <c r="P75" i="61"/>
  <c r="T75" i="61"/>
  <c r="P61" i="61"/>
  <c r="T61" i="61"/>
  <c r="D82" i="61"/>
  <c r="D64" i="61"/>
  <c r="T17" i="60"/>
  <c r="P17" i="60"/>
  <c r="T46" i="60"/>
  <c r="P46" i="60"/>
  <c r="O104" i="52"/>
  <c r="C105" i="52"/>
  <c r="B7" i="32"/>
  <c r="S104" i="52"/>
  <c r="B7" i="64" s="1"/>
  <c r="O51" i="52"/>
  <c r="O52" i="52" s="1"/>
  <c r="S51" i="52"/>
  <c r="O9" i="57"/>
  <c r="O39" i="57" s="1"/>
  <c r="S9" i="57"/>
  <c r="T9" i="57" s="1"/>
  <c r="C39" i="57"/>
  <c r="C6" i="62" s="1"/>
  <c r="S24" i="52"/>
  <c r="O24" i="52"/>
  <c r="O25" i="52" s="1"/>
  <c r="C107" i="52"/>
  <c r="C52" i="52"/>
  <c r="C25" i="52"/>
  <c r="S25" i="52" l="1"/>
  <c r="S52" i="52"/>
  <c r="D85" i="61"/>
  <c r="P82" i="61"/>
  <c r="P85" i="61" s="1"/>
  <c r="T78" i="61"/>
  <c r="P78" i="61"/>
  <c r="T82" i="61"/>
  <c r="T85" i="61" s="1"/>
  <c r="T64" i="61"/>
  <c r="P64" i="61"/>
  <c r="O6" i="62"/>
  <c r="S6" i="62" s="1"/>
  <c r="U6" i="62" s="1"/>
  <c r="C7" i="62"/>
  <c r="O7" i="62" s="1"/>
  <c r="S7" i="62" s="1"/>
  <c r="S107" i="52"/>
  <c r="O107" i="52"/>
  <c r="B33" i="32"/>
  <c r="N33" i="32" s="1"/>
  <c r="D13" i="18" s="1"/>
  <c r="S39" i="57"/>
  <c r="T39" i="57" s="1"/>
  <c r="N7" i="32"/>
  <c r="B9" i="32"/>
  <c r="S105" i="52"/>
  <c r="U105" i="52" s="1"/>
  <c r="B31" i="32"/>
  <c r="C108" i="52"/>
  <c r="D5" i="63" s="1"/>
  <c r="O105" i="52"/>
  <c r="T52" i="52" l="1"/>
  <c r="T25" i="52"/>
  <c r="B14" i="32"/>
  <c r="N9" i="32"/>
  <c r="V6" i="62"/>
  <c r="U7" i="62"/>
  <c r="V7" i="62" s="1"/>
  <c r="B34" i="32"/>
  <c r="N31" i="32"/>
  <c r="S108" i="52"/>
  <c r="B6" i="64" s="1"/>
  <c r="B9" i="64" s="1"/>
  <c r="O108" i="52"/>
  <c r="D6" i="18"/>
  <c r="B16" i="32" l="1"/>
  <c r="C27" i="22"/>
  <c r="B21" i="32"/>
  <c r="T108" i="52"/>
  <c r="N14" i="32"/>
  <c r="N34" i="32"/>
  <c r="N16" i="32"/>
  <c r="B19" i="32"/>
  <c r="D9" i="18"/>
  <c r="D14" i="18"/>
  <c r="E7" i="18" l="1"/>
  <c r="E5" i="18"/>
  <c r="E4" i="18"/>
  <c r="E8" i="18"/>
  <c r="C20" i="22"/>
  <c r="B25" i="39" s="1"/>
  <c r="C24" i="22"/>
  <c r="C21" i="22"/>
  <c r="C19" i="22"/>
  <c r="C26" i="22"/>
  <c r="C25" i="22"/>
  <c r="E6" i="18"/>
  <c r="N21" i="32"/>
  <c r="O27" i="22"/>
  <c r="N19" i="32"/>
  <c r="D11" i="18"/>
  <c r="O24" i="22" l="1"/>
  <c r="O21" i="22"/>
  <c r="O19" i="22"/>
  <c r="O20" i="22"/>
  <c r="N25" i="39" s="1"/>
  <c r="O26" i="22"/>
  <c r="O25" i="22"/>
  <c r="D15" i="18"/>
  <c r="N31" i="39"/>
  <c r="N30" i="39"/>
  <c r="N29" i="39"/>
  <c r="N28" i="39"/>
  <c r="E9" i="18"/>
  <c r="N27" i="39"/>
  <c r="E12" i="18" l="1"/>
  <c r="E13" i="18"/>
  <c r="E14" i="18"/>
  <c r="E11" i="18"/>
  <c r="R29" i="39"/>
  <c r="E15" i="18" l="1"/>
</calcChain>
</file>

<file path=xl/comments1.xml><?xml version="1.0" encoding="utf-8"?>
<comments xmlns="http://schemas.openxmlformats.org/spreadsheetml/2006/main">
  <authors>
    <author>brained</author>
    <author>Geri Ballew</author>
  </authors>
  <commentList>
    <comment ref="A28" authorId="0" shapeId="0">
      <text>
        <r>
          <rPr>
            <b/>
            <sz val="8"/>
            <color indexed="81"/>
            <rFont val="Tahoma"/>
            <family val="2"/>
          </rPr>
          <t>Should agree with Op Stats reports (as adjusted for Trailblazer services).</t>
        </r>
      </text>
    </comment>
    <comment ref="B28" authorId="0" shapeId="0">
      <text>
        <r>
          <rPr>
            <b/>
            <sz val="8"/>
            <color indexed="81"/>
            <rFont val="Tahoma"/>
            <family val="2"/>
          </rPr>
          <t>Should agree with Op Stats reports (as adjusted for Trailblazer services).</t>
        </r>
      </text>
    </comment>
    <comment ref="D46" authorId="1" shapeId="0">
      <text>
        <r>
          <rPr>
            <b/>
            <sz val="9"/>
            <color indexed="81"/>
            <rFont val="Tahoma"/>
            <family val="2"/>
          </rPr>
          <t>Geri Ballew:</t>
        </r>
        <r>
          <rPr>
            <sz val="9"/>
            <color indexed="81"/>
            <rFont val="Tahoma"/>
            <family val="2"/>
          </rPr>
          <t xml:space="preserve">
William Collins 2 trips on 7/2</t>
        </r>
      </text>
    </comment>
    <comment ref="D53" authorId="1" shapeId="0">
      <text>
        <r>
          <rPr>
            <b/>
            <sz val="9"/>
            <color indexed="81"/>
            <rFont val="Tahoma"/>
            <family val="2"/>
          </rPr>
          <t>Geri Ballew:</t>
        </r>
        <r>
          <rPr>
            <sz val="9"/>
            <color indexed="81"/>
            <rFont val="Tahoma"/>
            <family val="2"/>
          </rPr>
          <t xml:space="preserve">
William Collins 2 trips on 7/2</t>
        </r>
      </text>
    </comment>
    <comment ref="A54" authorId="0" shapeId="0">
      <text>
        <r>
          <rPr>
            <b/>
            <sz val="8"/>
            <color indexed="81"/>
            <rFont val="Tahoma"/>
            <family val="2"/>
          </rPr>
          <t>Should agree with Op Stats reports (as adjusted for Trailblazer services).</t>
        </r>
      </text>
    </comment>
    <comment ref="B54" authorId="0" shapeId="0">
      <text>
        <r>
          <rPr>
            <b/>
            <sz val="8"/>
            <color indexed="81"/>
            <rFont val="Tahoma"/>
            <family val="2"/>
          </rPr>
          <t>Should agree with Op Stats reports (as adjusted for Trailblazer services).</t>
        </r>
      </text>
    </comment>
  </commentList>
</comments>
</file>

<file path=xl/comments2.xml><?xml version="1.0" encoding="utf-8"?>
<comments xmlns="http://schemas.openxmlformats.org/spreadsheetml/2006/main">
  <authors>
    <author>Geri Ballew</author>
  </authors>
  <commentList>
    <comment ref="C48" authorId="0" shapeId="0">
      <text>
        <r>
          <rPr>
            <b/>
            <sz val="9"/>
            <color indexed="81"/>
            <rFont val="Tahoma"/>
            <family val="2"/>
          </rPr>
          <t>Geri Ballew:</t>
        </r>
        <r>
          <rPr>
            <sz val="9"/>
            <color indexed="81"/>
            <rFont val="Tahoma"/>
            <family val="2"/>
          </rPr>
          <t xml:space="preserve">
William Collins 2 trips on 7/2</t>
        </r>
      </text>
    </comment>
    <comment ref="E48" authorId="0" shapeId="0">
      <text>
        <r>
          <rPr>
            <b/>
            <sz val="9"/>
            <color indexed="81"/>
            <rFont val="Tahoma"/>
            <family val="2"/>
          </rPr>
          <t>Geri Ballew:</t>
        </r>
        <r>
          <rPr>
            <sz val="9"/>
            <color indexed="81"/>
            <rFont val="Tahoma"/>
            <family val="2"/>
          </rPr>
          <t xml:space="preserve">
5 mile correction to A0120</t>
        </r>
      </text>
    </comment>
    <comment ref="C55" authorId="0" shapeId="0">
      <text>
        <r>
          <rPr>
            <b/>
            <sz val="9"/>
            <color indexed="81"/>
            <rFont val="Tahoma"/>
            <family val="2"/>
          </rPr>
          <t>Geri Ballew:</t>
        </r>
        <r>
          <rPr>
            <sz val="9"/>
            <color indexed="81"/>
            <rFont val="Tahoma"/>
            <family val="2"/>
          </rPr>
          <t xml:space="preserve">
William Collins 2 trips on 7/2</t>
        </r>
      </text>
    </comment>
  </commentList>
</comments>
</file>

<file path=xl/comments3.xml><?xml version="1.0" encoding="utf-8"?>
<comments xmlns="http://schemas.openxmlformats.org/spreadsheetml/2006/main">
  <authors>
    <author>Geri Ballew</author>
    <author>brained</author>
  </authors>
  <commentList>
    <comment ref="V16" authorId="0" shapeId="0">
      <text>
        <r>
          <rPr>
            <b/>
            <sz val="9"/>
            <color indexed="81"/>
            <rFont val="Tahoma"/>
            <family val="2"/>
          </rPr>
          <t>Geri Ballew:</t>
        </r>
        <r>
          <rPr>
            <sz val="9"/>
            <color indexed="81"/>
            <rFont val="Tahoma"/>
            <family val="2"/>
          </rPr>
          <t xml:space="preserve">
fare free days 297 trips $594.00</t>
        </r>
      </text>
    </comment>
    <comment ref="B54" authorId="1" shapeId="0">
      <text>
        <r>
          <rPr>
            <b/>
            <sz val="8"/>
            <color indexed="81"/>
            <rFont val="Tahoma"/>
            <family val="2"/>
          </rPr>
          <t>Should agree with Op Stats reports (as adjusted for Trailblazer services).</t>
        </r>
      </text>
    </comment>
  </commentList>
</comments>
</file>

<file path=xl/comments4.xml><?xml version="1.0" encoding="utf-8"?>
<comments xmlns="http://schemas.openxmlformats.org/spreadsheetml/2006/main">
  <authors>
    <author>Geri Ballew</author>
  </authors>
  <commentList>
    <comment ref="L22" authorId="0" shapeId="0">
      <text>
        <r>
          <rPr>
            <sz val="8"/>
            <color indexed="81"/>
            <rFont val="Tahoma"/>
            <family val="2"/>
          </rPr>
          <t xml:space="preserve">Error of 9.93 miles on invoice
</t>
        </r>
      </text>
    </comment>
  </commentList>
</comments>
</file>

<file path=xl/comments5.xml><?xml version="1.0" encoding="utf-8"?>
<comments xmlns="http://schemas.openxmlformats.org/spreadsheetml/2006/main">
  <authors>
    <author>Denise Braine</author>
  </authors>
  <commentList>
    <comment ref="A58" authorId="0" shapeId="0">
      <text>
        <r>
          <rPr>
            <b/>
            <sz val="9"/>
            <color indexed="81"/>
            <rFont val="Tahoma"/>
            <family val="2"/>
          </rPr>
          <t>These totals add up Weekday + Saturday + Sunday rows above, but should agree with the Routematch totals showing above.</t>
        </r>
      </text>
    </comment>
  </commentList>
</comments>
</file>

<file path=xl/comments6.xml><?xml version="1.0" encoding="utf-8"?>
<comments xmlns="http://schemas.openxmlformats.org/spreadsheetml/2006/main">
  <authors>
    <author>Denise Braine</author>
  </authors>
  <commentList>
    <comment ref="S18" authorId="0" shapeId="0">
      <text>
        <r>
          <rPr>
            <b/>
            <sz val="9"/>
            <color indexed="81"/>
            <rFont val="Tahoma"/>
            <family val="2"/>
          </rPr>
          <t>This info will be inserted after year end fully allocated costs for ADA services are calculated.</t>
        </r>
      </text>
    </comment>
  </commentList>
</comments>
</file>

<file path=xl/comments7.xml><?xml version="1.0" encoding="utf-8"?>
<comments xmlns="http://schemas.openxmlformats.org/spreadsheetml/2006/main">
  <authors>
    <author>Denise Braine</author>
  </authors>
  <commentList>
    <comment ref="B6" authorId="0" shapeId="0">
      <text>
        <r>
          <rPr>
            <b/>
            <sz val="9"/>
            <color indexed="81"/>
            <rFont val="Tahoma"/>
            <family val="2"/>
          </rPr>
          <t>MM bills by service miles, not service hours, so no billing adjustments are made in service hours since vehicle was in service.  RM reports do not show service hours by individual passenger trips.</t>
        </r>
        <r>
          <rPr>
            <sz val="9"/>
            <color indexed="81"/>
            <rFont val="Tahoma"/>
            <family val="2"/>
          </rPr>
          <t xml:space="preserve">
</t>
        </r>
      </text>
    </comment>
  </commentList>
</comments>
</file>

<file path=xl/comments8.xml><?xml version="1.0" encoding="utf-8"?>
<comments xmlns="http://schemas.openxmlformats.org/spreadsheetml/2006/main">
  <authors>
    <author>Denise</author>
  </authors>
  <commentList>
    <comment ref="A13" authorId="0" shapeId="0">
      <text>
        <r>
          <rPr>
            <b/>
            <sz val="9"/>
            <color indexed="81"/>
            <rFont val="Tahoma"/>
            <family val="2"/>
          </rPr>
          <t>Obtain information from operations contractor.  Accidents/100K is formula calculation.</t>
        </r>
      </text>
    </comment>
  </commentList>
</comments>
</file>

<file path=xl/sharedStrings.xml><?xml version="1.0" encoding="utf-8"?>
<sst xmlns="http://schemas.openxmlformats.org/spreadsheetml/2006/main" count="3064" uniqueCount="499">
  <si>
    <t>Trips</t>
  </si>
  <si>
    <t>Miles</t>
  </si>
  <si>
    <t>Agency</t>
  </si>
  <si>
    <t>Account</t>
  </si>
  <si>
    <t>April</t>
  </si>
  <si>
    <t>May</t>
  </si>
  <si>
    <t>June</t>
  </si>
  <si>
    <t>YTD</t>
  </si>
  <si>
    <t>July</t>
  </si>
  <si>
    <t>System Overview</t>
  </si>
  <si>
    <t>Subtotal</t>
  </si>
  <si>
    <t>On-Time Performance</t>
  </si>
  <si>
    <t>Category</t>
  </si>
  <si>
    <t>Trip</t>
  </si>
  <si>
    <t>Medical</t>
  </si>
  <si>
    <t>Mode</t>
  </si>
  <si>
    <t>Purpose</t>
  </si>
  <si>
    <t>DSS - Medicaid</t>
  </si>
  <si>
    <t>Y-T-D Total</t>
  </si>
  <si>
    <t>Mountain Mobility</t>
  </si>
  <si>
    <t>Total</t>
  </si>
  <si>
    <t>Subscription</t>
  </si>
  <si>
    <t>Employment</t>
  </si>
  <si>
    <t>Multipurpose</t>
  </si>
  <si>
    <t>COA AND MOUNTAIN CARE SERVICE REPORT INFORMATION</t>
  </si>
  <si>
    <t>-3/31/01</t>
  </si>
  <si>
    <t>No Shows</t>
  </si>
  <si>
    <t>Billings</t>
  </si>
  <si>
    <t>TOTALS</t>
  </si>
  <si>
    <t>Current</t>
  </si>
  <si>
    <t>Y-T-D</t>
  </si>
  <si>
    <t>Vocational Rehabilitation</t>
  </si>
  <si>
    <t>Other</t>
  </si>
  <si>
    <t>Demand Response</t>
  </si>
  <si>
    <t>Passenger Trips</t>
  </si>
  <si>
    <t>Attendant Trips</t>
  </si>
  <si>
    <t>Guest Trips</t>
  </si>
  <si>
    <t>Total Trips</t>
  </si>
  <si>
    <t>Cancellations</t>
  </si>
  <si>
    <t>Trips Denied</t>
  </si>
  <si>
    <t>Revenue Miles</t>
  </si>
  <si>
    <t>Revenue Hours</t>
  </si>
  <si>
    <t>Service Miles</t>
  </si>
  <si>
    <t>Service Hours</t>
  </si>
  <si>
    <t>No-Show Trips</t>
  </si>
  <si>
    <t>Total Service Hours</t>
  </si>
  <si>
    <t>Total Service Miles</t>
  </si>
  <si>
    <t>Total Revenue Miles</t>
  </si>
  <si>
    <t>Revenue Trips</t>
  </si>
  <si>
    <t>Service Area in Square Miles*</t>
  </si>
  <si>
    <t>Service Area Population*</t>
  </si>
  <si>
    <t>Households with No Vehicles*</t>
  </si>
  <si>
    <t>Service Productivity - Customer Service</t>
  </si>
  <si>
    <t>How much service was provided for the area as a whole?</t>
  </si>
  <si>
    <t>Service Miles per Square Mile</t>
  </si>
  <si>
    <t>Service Miles per Capita</t>
  </si>
  <si>
    <t>How efficiently were vehicles used to provide revenue?</t>
  </si>
  <si>
    <t>Service Miles per Revenue Mile</t>
  </si>
  <si>
    <t>What is Mountain Mobility's productivity ratio?</t>
  </si>
  <si>
    <t>Revenue Trips per Service Hour</t>
  </si>
  <si>
    <t>How effectively did Mountain Mobility provide service?</t>
  </si>
  <si>
    <t>Revenue Trips per Service Mile</t>
  </si>
  <si>
    <t>Service Miles per Service Hour</t>
  </si>
  <si>
    <t>What is the average length of a trip?</t>
  </si>
  <si>
    <t>Revenue Miles per Revenue Trip</t>
  </si>
  <si>
    <t>How efficiently are the vehicles being used?</t>
  </si>
  <si>
    <t>Service Hours per Vehicle in Peak Service</t>
  </si>
  <si>
    <t>Service Miles per Vehicle in Peak Service</t>
  </si>
  <si>
    <t>Service Hours per M-F per Vehicle in Peak Service</t>
  </si>
  <si>
    <t>What is the average speed vehicles traveled in service?</t>
  </si>
  <si>
    <t>How much service is provided on Saturday?</t>
  </si>
  <si>
    <t>How much service is provided on Monday-Friday?</t>
  </si>
  <si>
    <t>Service Miles per Day M-F</t>
  </si>
  <si>
    <t>Service Hours per Day M-F</t>
  </si>
  <si>
    <t>Service Miles per Saturday</t>
  </si>
  <si>
    <t>Service Hours per Saturday</t>
  </si>
  <si>
    <t>Vehicle Miles Per Revenue Trip</t>
  </si>
  <si>
    <t>Service Miles Per Revenue Trip</t>
  </si>
  <si>
    <t>August</t>
  </si>
  <si>
    <t>September</t>
  </si>
  <si>
    <t>October</t>
  </si>
  <si>
    <t>November</t>
  </si>
  <si>
    <t>December</t>
  </si>
  <si>
    <t>January</t>
  </si>
  <si>
    <t>February</t>
  </si>
  <si>
    <t>March</t>
  </si>
  <si>
    <t>Service Report</t>
  </si>
  <si>
    <t>Trips Scheduled - M-F</t>
  </si>
  <si>
    <t>Trips Scheduled - Saturdays</t>
  </si>
  <si>
    <t>Scheduled Trips per Day M-F</t>
  </si>
  <si>
    <t>Scheduled Trips per Saturday</t>
  </si>
  <si>
    <t>Revenue Trips (Less Attendant/Guests)</t>
  </si>
  <si>
    <t>Total Trips Scheduled (No Attendant/Guests)</t>
  </si>
  <si>
    <t>Total Mobility-Impaired Pass. Trips</t>
  </si>
  <si>
    <t>Revenue Trips per Revenue Hour</t>
  </si>
  <si>
    <t>Irene Wortham Center</t>
  </si>
  <si>
    <t>Revenue Hours per Vehicle in Peak Service</t>
  </si>
  <si>
    <t>Revenue Miles per Vehicle in Peak Service</t>
  </si>
  <si>
    <t>Passenger Trips per Vehicle in Peak Service</t>
  </si>
  <si>
    <t>Total Vehicles in Peak Service - M-F</t>
  </si>
  <si>
    <t>Total Vehicles in Peak Service - Saturday</t>
  </si>
  <si>
    <t>Total Vehicles in Fleet</t>
  </si>
  <si>
    <t>Latest Time Vehicle Returns to Garage M-F</t>
  </si>
  <si>
    <t>Earliest Time Vehicle Leaves Garage M-F</t>
  </si>
  <si>
    <t>5:15 a.m.</t>
  </si>
  <si>
    <t>7:45 p.m.</t>
  </si>
  <si>
    <t>5:30 a.m.</t>
  </si>
  <si>
    <t>Open Hearts Art Center</t>
  </si>
  <si>
    <t>Liberty Corner Enterprises</t>
  </si>
  <si>
    <t>Total Revenue Hours</t>
  </si>
  <si>
    <t>Quarter 1</t>
  </si>
  <si>
    <t>Quarter 2</t>
  </si>
  <si>
    <t>Quarter 3</t>
  </si>
  <si>
    <t>Quarter 4</t>
  </si>
  <si>
    <t>YTD Totals</t>
  </si>
  <si>
    <t>Total Passenger Trips</t>
  </si>
  <si>
    <t>Year-To-Date</t>
  </si>
  <si>
    <t>Funding Source/</t>
  </si>
  <si>
    <t>Description</t>
  </si>
  <si>
    <t>Agency Billed</t>
  </si>
  <si>
    <t>Buncombe County/Mountain Mobility</t>
  </si>
  <si>
    <t>Madison County DSS</t>
  </si>
  <si>
    <t>Goodwill</t>
  </si>
  <si>
    <t>CarePartners Health Services</t>
  </si>
  <si>
    <t>Adult Day Services</t>
  </si>
  <si>
    <t>Adult Day Services/Disabled</t>
  </si>
  <si>
    <t>Adult Day Services/Other</t>
  </si>
  <si>
    <t>A-B Technical Community College</t>
  </si>
  <si>
    <t>Comp. Education</t>
  </si>
  <si>
    <t>Asheville Parks, Recreation &amp; Cultural Arts</t>
  </si>
  <si>
    <t>Senior Centers</t>
  </si>
  <si>
    <t>NC Division of Services for the Blind</t>
  </si>
  <si>
    <t>The ARC of Buncombe County</t>
  </si>
  <si>
    <t>Jewish Family Services of WNC</t>
  </si>
  <si>
    <t>Black Mountain Trailblazer</t>
  </si>
  <si>
    <t>Enka Candler Trailblazer</t>
  </si>
  <si>
    <t>North Buncombe Trailblazer</t>
  </si>
  <si>
    <t>Totals</t>
  </si>
  <si>
    <t>Service</t>
  </si>
  <si>
    <t>Amount</t>
  </si>
  <si>
    <t>Fares Paid</t>
  </si>
  <si>
    <t>Black Mtn. Trailblazer</t>
  </si>
  <si>
    <t>Enka-Candler Trailblazer</t>
  </si>
  <si>
    <t>Trailblazer Routes</t>
  </si>
  <si>
    <t>Total Operating Days</t>
  </si>
  <si>
    <t>Passenger Trips - Demand Response</t>
  </si>
  <si>
    <t>Passenger Trips - Subscription</t>
  </si>
  <si>
    <t>Total Odometer Miles</t>
  </si>
  <si>
    <t>ADA Comparable Paratransit</t>
  </si>
  <si>
    <t>Aging Services - Medical</t>
  </si>
  <si>
    <t>Aging Services - General</t>
  </si>
  <si>
    <t>RGP Services</t>
  </si>
  <si>
    <t>Elder Day Club</t>
  </si>
  <si>
    <t>Trips by Agency</t>
  </si>
  <si>
    <t>Costs by Agency</t>
  </si>
  <si>
    <t>Trip Cost</t>
  </si>
  <si>
    <t>Credit</t>
  </si>
  <si>
    <t>Billed</t>
  </si>
  <si>
    <t>Subtotal - Deviated Fixed Route Trips</t>
  </si>
  <si>
    <t>Day Programs and Services</t>
  </si>
  <si>
    <t>Multipurpose/General</t>
  </si>
  <si>
    <t>Shopping/Retail</t>
  </si>
  <si>
    <t>Other/Special Services</t>
  </si>
  <si>
    <t>Trailblazers/Deviated Fixed Routes</t>
  </si>
  <si>
    <t>% Change</t>
  </si>
  <si>
    <t>Total Revenue Trips</t>
  </si>
  <si>
    <t>% of</t>
  </si>
  <si>
    <t>Medicaid Services</t>
  </si>
  <si>
    <t>Non-Medicaid Contract Services</t>
  </si>
  <si>
    <t>Non-Contract Services</t>
  </si>
  <si>
    <t>Enter information in green shaded cells from "Totals by Agency" sheet from monthly invoice file.  Compare totals to monthly invoice file to make sure totals agree.</t>
  </si>
  <si>
    <t>Passenger Trips per Day M-F</t>
  </si>
  <si>
    <t>Passenger Trips Per Saturday</t>
  </si>
  <si>
    <t>Maximum Seating Capacity of Operational Vehicles</t>
  </si>
  <si>
    <t>Rev. Trips</t>
  </si>
  <si>
    <t>Average Revenue Trips/Month</t>
  </si>
  <si>
    <t>Evergreen Living F/C Home</t>
  </si>
  <si>
    <t>Evergreen Living F/C/ Home</t>
  </si>
  <si>
    <t>Should agree with NCDOT Op Stats Report - Annual Totals</t>
  </si>
  <si>
    <t>Other Provider Trips</t>
  </si>
  <si>
    <t>Total All Trips</t>
  </si>
  <si>
    <t>Serenity Heart Family Care Home</t>
  </si>
  <si>
    <t>Passenger Trips by Mode</t>
  </si>
  <si>
    <t>Revenue Trips by Purpose</t>
  </si>
  <si>
    <t>Average Pass Trips/Day Mon-Sat</t>
  </si>
  <si>
    <t>Senior Centers/Grocery Shopping</t>
  </si>
  <si>
    <t>Employment/ Medical</t>
  </si>
  <si>
    <t>Operating Days</t>
  </si>
  <si>
    <t>Medicaid Services (DR+SUB)</t>
  </si>
  <si>
    <t>Service Hours per Revenue Hour</t>
  </si>
  <si>
    <t xml:space="preserve">Mountain Mobility </t>
  </si>
  <si>
    <t>Community Transportation Advisory Board</t>
  </si>
  <si>
    <t>Operations</t>
  </si>
  <si>
    <t>Target</t>
  </si>
  <si>
    <t>Vacant Positions</t>
  </si>
  <si>
    <t xml:space="preserve"> </t>
  </si>
  <si>
    <t>Driver Turnover Percent YTD</t>
  </si>
  <si>
    <t>Number of Accidents</t>
  </si>
  <si>
    <t>ADA Training</t>
  </si>
  <si>
    <t>First Aid/CPR Training</t>
  </si>
  <si>
    <t>Drug &amp; Alcohol/Customer Assistance</t>
  </si>
  <si>
    <t>Service Performance</t>
  </si>
  <si>
    <t>Shopping/Pharmacy/Retail</t>
  </si>
  <si>
    <t>Bloodbourne Pathogens/Defensive Driving</t>
  </si>
  <si>
    <t>Attendants/Guests</t>
  </si>
  <si>
    <t>Total Allocated Operational Costs</t>
  </si>
  <si>
    <t>Allocated Cost per Revenue Trip</t>
  </si>
  <si>
    <t>Allocated Costs</t>
  </si>
  <si>
    <t>Total Service Miles Provided</t>
  </si>
  <si>
    <t>Accidents per 100,000 Service Miles</t>
  </si>
  <si>
    <r>
      <t>&gt;</t>
    </r>
    <r>
      <rPr>
        <sz val="10"/>
        <rFont val="Arial"/>
        <family val="2"/>
      </rPr>
      <t xml:space="preserve"> 2.34</t>
    </r>
  </si>
  <si>
    <r>
      <rPr>
        <u/>
        <sz val="10"/>
        <rFont val="Arial"/>
        <family val="2"/>
      </rPr>
      <t>&gt;</t>
    </r>
    <r>
      <rPr>
        <sz val="10"/>
        <rFont val="Arial"/>
        <family val="2"/>
      </rPr>
      <t xml:space="preserve"> 95%</t>
    </r>
  </si>
  <si>
    <r>
      <rPr>
        <u/>
        <sz val="10"/>
        <rFont val="Arial"/>
        <family val="2"/>
      </rPr>
      <t>&lt;</t>
    </r>
    <r>
      <rPr>
        <sz val="10"/>
        <rFont val="Arial"/>
        <family val="2"/>
      </rPr>
      <t xml:space="preserve"> 25%</t>
    </r>
  </si>
  <si>
    <t>Trailblazer Services</t>
  </si>
  <si>
    <t>Black Mountain Trailblazer Trips</t>
  </si>
  <si>
    <t>Enka-Candler Trailblazer Trips</t>
  </si>
  <si>
    <t>North Buncombe Trailblazer Trips</t>
  </si>
  <si>
    <t>Demand Response Services</t>
  </si>
  <si>
    <t>Subscription Services</t>
  </si>
  <si>
    <t>Medicaid Transportation Services</t>
  </si>
  <si>
    <t>Data Entry Required in Operations Sections Only.</t>
  </si>
  <si>
    <t>Hide Future Columns Beyond Current Quarter.</t>
  </si>
  <si>
    <t>Trailblazers</t>
  </si>
  <si>
    <t>DSS Services - NS/NV</t>
  </si>
  <si>
    <t>Difference</t>
  </si>
  <si>
    <t>Midday Vehicles</t>
  </si>
  <si>
    <t>Total Unlinked Passenger Trips</t>
  </si>
  <si>
    <t>SATURDAY</t>
  </si>
  <si>
    <t>TOTAL</t>
  </si>
  <si>
    <t>SUNDAY</t>
  </si>
  <si>
    <t>Admin Surcharges</t>
  </si>
  <si>
    <t xml:space="preserve">Enter information in green shaded cells from applicable agencies in Invoice Summary file.  </t>
  </si>
  <si>
    <t>Surcharge</t>
  </si>
  <si>
    <t>Admin</t>
  </si>
  <si>
    <t>Surcharges</t>
  </si>
  <si>
    <t>Subtotal - DR/SUB/Medicaid/ADA</t>
  </si>
  <si>
    <t>Medicaid Transportation</t>
  </si>
  <si>
    <t>% Pass Trips</t>
  </si>
  <si>
    <t>% Rev. Trips</t>
  </si>
  <si>
    <t>% Total Cost</t>
  </si>
  <si>
    <t>ART/City of Asheville</t>
  </si>
  <si>
    <t>Passenger Miles</t>
  </si>
  <si>
    <t>Automatically calculates based on miles times rate.</t>
  </si>
  <si>
    <t>Average</t>
  </si>
  <si>
    <t>Vehicles in Operation</t>
  </si>
  <si>
    <t>Total Actual Vehicle Miles</t>
  </si>
  <si>
    <t>Total Actual Vehicle Rev. Miles (VRM)</t>
  </si>
  <si>
    <t>Deadhead Miles (Auto-Calc)</t>
  </si>
  <si>
    <t>Total Actual Vehicle Hours</t>
  </si>
  <si>
    <t>Total Actual Revenue Hours (VRH)</t>
  </si>
  <si>
    <t>Deadhead Hours (Auto-Calc)</t>
  </si>
  <si>
    <t>Passenger Miles Traveled</t>
  </si>
  <si>
    <t>NTD S-10</t>
  </si>
  <si>
    <t>Quarterly Total - NCDOT Op Stats Report</t>
  </si>
  <si>
    <t>Total Reported on Monthly, Quarterly, Annual NCDOT Op Stats</t>
  </si>
  <si>
    <t>Total Adjustments Above Made After Monthly Op Stats Run</t>
  </si>
  <si>
    <t>% Difference to Monthly Generated Reporting Data</t>
  </si>
  <si>
    <t>Aston Park Health Care Center</t>
  </si>
  <si>
    <t>Total Contract/Sponsored Trips</t>
  </si>
  <si>
    <t>RHA Mental Health Services</t>
  </si>
  <si>
    <t>Total Unlinked Passenger Trips (UPT)</t>
  </si>
  <si>
    <t>Deadhead MPH (Auto-Calc)</t>
  </si>
  <si>
    <t>WEEKDAY + WEEKEND</t>
  </si>
  <si>
    <t>Non-Contract - ADA Paratransit</t>
  </si>
  <si>
    <t>Medicaid Contract</t>
  </si>
  <si>
    <t>Non-Contract (RGP/Public)</t>
  </si>
  <si>
    <t>Non-Medicaid Contract (All Other)</t>
  </si>
  <si>
    <t>Total Non-Contract Trips</t>
  </si>
  <si>
    <t>NTD Measures</t>
  </si>
  <si>
    <t>Total PassengerTrips</t>
  </si>
  <si>
    <t xml:space="preserve">Total Non-Contract </t>
  </si>
  <si>
    <r>
      <t>Non-Medicaid Contract</t>
    </r>
    <r>
      <rPr>
        <b/>
        <sz val="8"/>
        <rFont val="Arial"/>
        <family val="2"/>
      </rPr>
      <t xml:space="preserve"> (All Other)</t>
    </r>
  </si>
  <si>
    <t>WEEKDAY - DO NOT EDIT</t>
  </si>
  <si>
    <t>ROUTEMATCH TOTALS</t>
  </si>
  <si>
    <t>AM/PM Peak Period Vehicles</t>
  </si>
  <si>
    <t>Vehicle Revenue Hours</t>
  </si>
  <si>
    <t>Vehicle Revenue Miles</t>
  </si>
  <si>
    <t>WEEKDAY</t>
  </si>
  <si>
    <t>TOTAL SERVICES</t>
  </si>
  <si>
    <t>Total Service Miles per Inv.</t>
  </si>
  <si>
    <r>
      <t>ADA Comparable Paratransit</t>
    </r>
    <r>
      <rPr>
        <i/>
        <sz val="8"/>
        <rFont val="Arial"/>
        <family val="2"/>
      </rPr>
      <t xml:space="preserve"> (Unweighted)</t>
    </r>
  </si>
  <si>
    <t>Avg/Day</t>
  </si>
  <si>
    <t>Actual Vehicle Miles</t>
  </si>
  <si>
    <t>Actual Vehicle Hours</t>
  </si>
  <si>
    <t xml:space="preserve">Mileage/Trip Billing Adjustment </t>
  </si>
  <si>
    <t>Service Miles - Deviated Fixed Routes</t>
  </si>
  <si>
    <t>Service Miles - Demand Response</t>
  </si>
  <si>
    <t>Revenue Miles - Deviated Fixed Routes</t>
  </si>
  <si>
    <t>Revenue Miles - Demand Response</t>
  </si>
  <si>
    <t>Service Hours - Deviated Fixed Routes</t>
  </si>
  <si>
    <t>Service Hours - Demand Response</t>
  </si>
  <si>
    <t>Revenue Hours - Deviated Fixed Routes</t>
  </si>
  <si>
    <t>Revenue Hours - Demand Response</t>
  </si>
  <si>
    <t xml:space="preserve">Passenger Trips - Medicaid </t>
  </si>
  <si>
    <t xml:space="preserve">Passenger Trips - Total Non-Contract </t>
  </si>
  <si>
    <t>Passenger Trips - Medicaid Contract</t>
  </si>
  <si>
    <t>Passenger Trips - Non-Medicaid Contract (All Other)</t>
  </si>
  <si>
    <t>TOTAL - DO NOT EDIT</t>
  </si>
  <si>
    <t>DO NOT EDIT</t>
  </si>
  <si>
    <r>
      <rPr>
        <b/>
        <sz val="10"/>
        <color rgb="FFFFFF00"/>
        <rFont val="Arial"/>
        <family val="2"/>
      </rPr>
      <t>Revenue Trips</t>
    </r>
    <r>
      <rPr>
        <b/>
        <sz val="10"/>
        <color indexed="9"/>
        <rFont val="Arial"/>
        <family val="2"/>
      </rPr>
      <t xml:space="preserve"> by Purpose</t>
    </r>
  </si>
  <si>
    <r>
      <rPr>
        <b/>
        <sz val="10"/>
        <color rgb="FFFFFF00"/>
        <rFont val="Arial"/>
        <family val="2"/>
      </rPr>
      <t>Passenger Trips</t>
    </r>
    <r>
      <rPr>
        <b/>
        <sz val="10"/>
        <color indexed="9"/>
        <rFont val="Arial"/>
        <family val="2"/>
      </rPr>
      <t xml:space="preserve"> by Type</t>
    </r>
  </si>
  <si>
    <t>Family Households in Service Area*</t>
  </si>
  <si>
    <t>(Enter totals fm. Run Productivity Reports)</t>
  </si>
  <si>
    <t>(Enter totals fm. Productivity by Funding Source Report)</t>
  </si>
  <si>
    <t>ADA Complementary Paratransit</t>
  </si>
  <si>
    <t>Passenger Trips - ADA Complementary Paratransit</t>
  </si>
  <si>
    <t>Monthly Report for ART/City of Asheville ADA Complementary Paratransit Services</t>
  </si>
  <si>
    <t>Mountain Mobility - ADA Complementary Paratransit Services</t>
  </si>
  <si>
    <t>Prior Year</t>
  </si>
  <si>
    <t>One Way Trips</t>
  </si>
  <si>
    <t>Unlinked Passenger Trips</t>
  </si>
  <si>
    <t>Total Cost - ADA Paratransit - Reg. Svcs.</t>
  </si>
  <si>
    <t>Total Cost - ADA Paratransit-Hol/Other Svcs.</t>
  </si>
  <si>
    <t>Total Cost - ADA Paratransit</t>
  </si>
  <si>
    <t>Net Cost - ADA Paratransit Program</t>
  </si>
  <si>
    <t>Administrative Fee (10%)</t>
  </si>
  <si>
    <t>Total Payment to Mountain Mobility</t>
  </si>
  <si>
    <t>Total Purchased Transportation Costs*</t>
  </si>
  <si>
    <t>*Total Purchased Transportation Costs = Total Cost ADA Paratransit + Administrative Fee</t>
  </si>
  <si>
    <t>Operating Subsidy (County Funds)</t>
  </si>
  <si>
    <t>Sunday Services</t>
  </si>
  <si>
    <t>ADA Holiday-After Hours Services</t>
  </si>
  <si>
    <t>ADA  Paratransit-Reg/Blk. Mtn.</t>
  </si>
  <si>
    <t>SUNDAY (ART ONLY)</t>
  </si>
  <si>
    <r>
      <t>ADA Comparable Paratransit</t>
    </r>
    <r>
      <rPr>
        <i/>
        <sz val="8"/>
        <rFont val="Arial"/>
        <family val="2"/>
      </rPr>
      <t xml:space="preserve"> </t>
    </r>
  </si>
  <si>
    <t>Total Sponsored Trips</t>
  </si>
  <si>
    <t>Total Fully Allocated Costs (Per NTD Financial Report)</t>
  </si>
  <si>
    <t>Medicaid</t>
  </si>
  <si>
    <t>Medicaid Services - NS/NV</t>
  </si>
  <si>
    <t>ADA Service Totals - Monday - Saturday</t>
  </si>
  <si>
    <t>Remaining Difference to Stats Report</t>
  </si>
  <si>
    <t>B Cty/Services</t>
  </si>
  <si>
    <t>Trips Scheduled - Sundays</t>
  </si>
  <si>
    <t>Update dates on Row 11 at beginning of fiscal year.</t>
  </si>
  <si>
    <t>Change YTD title to current FY</t>
  </si>
  <si>
    <t>Update Column O info with prior FY totals from June final service report.</t>
  </si>
  <si>
    <t>Vehicles Operated in Max Service (VOMS)</t>
  </si>
  <si>
    <t>Vehicles Available for Annual Max Service</t>
  </si>
  <si>
    <t>Allocated Cost per Passenger Trip</t>
  </si>
  <si>
    <t>DR</t>
  </si>
  <si>
    <t>MB</t>
  </si>
  <si>
    <t>HOURS</t>
  </si>
  <si>
    <t>MILES</t>
  </si>
  <si>
    <t>Run a cumulative Routematch Op Stats Report each quarter and enter totals on Line 30 in Columns B-F.</t>
  </si>
  <si>
    <t>Reporting Period</t>
  </si>
  <si>
    <t>Per NCDOT Op Stats Formulas</t>
  </si>
  <si>
    <t>Totals from Monthly RouteMatch Op Stats Reports Compared to NCDOT Op Stats Reports</t>
  </si>
  <si>
    <t>Totals per Monthly RouteMatch Reports</t>
  </si>
  <si>
    <t>Op Stats Validation</t>
  </si>
  <si>
    <t>Passenger Fares Attributable</t>
  </si>
  <si>
    <t>Value</t>
  </si>
  <si>
    <r>
      <t>ART productivity report (month/</t>
    </r>
    <r>
      <rPr>
        <sz val="10"/>
        <color rgb="FF0033CC"/>
        <rFont val="Arial"/>
        <family val="2"/>
      </rPr>
      <t>Sunday</t>
    </r>
    <r>
      <rPr>
        <sz val="10"/>
        <rFont val="Arial"/>
        <family val="2"/>
      </rPr>
      <t>)</t>
    </r>
  </si>
  <si>
    <r>
      <t>ART productivity report (month/</t>
    </r>
    <r>
      <rPr>
        <sz val="10"/>
        <color rgb="FF0033CC"/>
        <rFont val="Arial"/>
        <family val="2"/>
      </rPr>
      <t>Saturday</t>
    </r>
    <r>
      <rPr>
        <sz val="10"/>
        <rFont val="Arial"/>
        <family val="2"/>
      </rPr>
      <t>)</t>
    </r>
  </si>
  <si>
    <t>ART productivity by funding (month)</t>
  </si>
  <si>
    <t>Calculation ART productivity (month/Monday-Saturday)</t>
  </si>
  <si>
    <r>
      <t>BM run productivity (month/</t>
    </r>
    <r>
      <rPr>
        <sz val="10"/>
        <color rgb="FF0033CC"/>
        <rFont val="Arial"/>
        <family val="2"/>
      </rPr>
      <t>Saturday</t>
    </r>
    <r>
      <rPr>
        <sz val="10"/>
        <rFont val="Arial"/>
        <family val="2"/>
      </rPr>
      <t>)</t>
    </r>
  </si>
  <si>
    <t>BM run productivity (month)</t>
  </si>
  <si>
    <t>EC run productivity (month)</t>
  </si>
  <si>
    <t>NB run productivity (month)</t>
  </si>
  <si>
    <t>Farebox BMTB Passenger Miles</t>
  </si>
  <si>
    <t>Farebox BMTB Passengers</t>
  </si>
  <si>
    <t>Grand Total Revenue Miles</t>
  </si>
  <si>
    <t>Grand Total Passenger Miles</t>
  </si>
  <si>
    <t>Grand Total Service Hours</t>
  </si>
  <si>
    <t>Grand Total Revenue Hours</t>
  </si>
  <si>
    <t>Grand Total Passengers</t>
  </si>
  <si>
    <t>Grand Total Service Miles</t>
  </si>
  <si>
    <t>Productivity by funding (month)</t>
  </si>
  <si>
    <t>Farebox ECTB Passenger Miles</t>
  </si>
  <si>
    <t>Farebox NBTB Passenger Miles</t>
  </si>
  <si>
    <t>Op Stats Report</t>
  </si>
  <si>
    <r>
      <t>Vehicles Available for Annual Max Service (</t>
    </r>
    <r>
      <rPr>
        <sz val="10"/>
        <color rgb="FF0033CC"/>
        <rFont val="Arial"/>
        <family val="2"/>
      </rPr>
      <t>Total Fleet</t>
    </r>
    <r>
      <rPr>
        <sz val="10"/>
        <rFont val="Arial"/>
        <family val="2"/>
      </rPr>
      <t>)</t>
    </r>
  </si>
  <si>
    <r>
      <t>Vehicles Operated in Max Service (VOMS) (</t>
    </r>
    <r>
      <rPr>
        <sz val="10"/>
        <color rgb="FF0033CC"/>
        <rFont val="Arial"/>
        <family val="2"/>
      </rPr>
      <t>All Modes</t>
    </r>
    <r>
      <rPr>
        <sz val="10"/>
        <rFont val="Arial"/>
        <family val="2"/>
      </rPr>
      <t>)</t>
    </r>
  </si>
  <si>
    <r>
      <t>Vehicles Available for Annual Max Service (</t>
    </r>
    <r>
      <rPr>
        <sz val="10"/>
        <color rgb="FF0033CC"/>
        <rFont val="Arial"/>
        <family val="2"/>
      </rPr>
      <t>Trailblazers)</t>
    </r>
  </si>
  <si>
    <r>
      <t>Vehicles Operated in Max Service (VOMS) (</t>
    </r>
    <r>
      <rPr>
        <sz val="10"/>
        <color rgb="FF0033CC"/>
        <rFont val="Arial"/>
        <family val="2"/>
      </rPr>
      <t>Trailblazers)</t>
    </r>
  </si>
  <si>
    <r>
      <t xml:space="preserve">Vehicles in Operation </t>
    </r>
    <r>
      <rPr>
        <sz val="10"/>
        <color rgb="FF0033CC"/>
        <rFont val="Arial"/>
        <family val="2"/>
      </rPr>
      <t xml:space="preserve">Weekday </t>
    </r>
    <r>
      <rPr>
        <sz val="10"/>
        <rFont val="Arial"/>
        <family val="2"/>
      </rPr>
      <t>(</t>
    </r>
    <r>
      <rPr>
        <sz val="10"/>
        <color rgb="FF0033CC"/>
        <rFont val="Arial"/>
        <family val="2"/>
      </rPr>
      <t>All Modes</t>
    </r>
    <r>
      <rPr>
        <sz val="10"/>
        <rFont val="Arial"/>
        <family val="2"/>
      </rPr>
      <t>)</t>
    </r>
  </si>
  <si>
    <r>
      <t xml:space="preserve">Vehicles in Operation </t>
    </r>
    <r>
      <rPr>
        <sz val="10"/>
        <color rgb="FF0033CC"/>
        <rFont val="Arial"/>
        <family val="2"/>
      </rPr>
      <t xml:space="preserve">Saturday </t>
    </r>
    <r>
      <rPr>
        <sz val="10"/>
        <rFont val="Arial"/>
        <family val="2"/>
      </rPr>
      <t>(</t>
    </r>
    <r>
      <rPr>
        <sz val="10"/>
        <color rgb="FF0033CC"/>
        <rFont val="Arial"/>
        <family val="2"/>
      </rPr>
      <t>All Modes</t>
    </r>
    <r>
      <rPr>
        <sz val="10"/>
        <rFont val="Arial"/>
        <family val="2"/>
      </rPr>
      <t>)</t>
    </r>
  </si>
  <si>
    <r>
      <t xml:space="preserve">Vehicles in Operation </t>
    </r>
    <r>
      <rPr>
        <sz val="10"/>
        <color rgb="FF0033CC"/>
        <rFont val="Arial"/>
        <family val="2"/>
      </rPr>
      <t xml:space="preserve">Sunday </t>
    </r>
    <r>
      <rPr>
        <sz val="10"/>
        <rFont val="Arial"/>
        <family val="2"/>
      </rPr>
      <t>(</t>
    </r>
    <r>
      <rPr>
        <sz val="10"/>
        <color rgb="FF0033CC"/>
        <rFont val="Arial"/>
        <family val="2"/>
      </rPr>
      <t>All Modes</t>
    </r>
    <r>
      <rPr>
        <sz val="10"/>
        <rFont val="Arial"/>
        <family val="2"/>
      </rPr>
      <t>)</t>
    </r>
  </si>
  <si>
    <r>
      <t xml:space="preserve">Vehicles in Operation </t>
    </r>
    <r>
      <rPr>
        <sz val="10"/>
        <color rgb="FF0033CC"/>
        <rFont val="Arial"/>
        <family val="2"/>
      </rPr>
      <t>Weekday</t>
    </r>
    <r>
      <rPr>
        <sz val="10"/>
        <rFont val="Arial"/>
        <family val="2"/>
      </rPr>
      <t xml:space="preserve">  (</t>
    </r>
    <r>
      <rPr>
        <sz val="10"/>
        <color rgb="FF0033CC"/>
        <rFont val="Arial"/>
        <family val="2"/>
      </rPr>
      <t>Trailblazers</t>
    </r>
    <r>
      <rPr>
        <sz val="10"/>
        <rFont val="Arial"/>
        <family val="2"/>
      </rPr>
      <t>)</t>
    </r>
  </si>
  <si>
    <r>
      <t xml:space="preserve">Vehicles in Operation </t>
    </r>
    <r>
      <rPr>
        <sz val="10"/>
        <color rgb="FF0033CC"/>
        <rFont val="Arial"/>
        <family val="2"/>
      </rPr>
      <t>Saturday</t>
    </r>
    <r>
      <rPr>
        <sz val="10"/>
        <rFont val="Arial"/>
        <family val="2"/>
      </rPr>
      <t xml:space="preserve"> (</t>
    </r>
    <r>
      <rPr>
        <sz val="10"/>
        <color rgb="FF0033CC"/>
        <rFont val="Arial"/>
        <family val="2"/>
      </rPr>
      <t>Trailblazers</t>
    </r>
    <r>
      <rPr>
        <sz val="10"/>
        <rFont val="Arial"/>
        <family val="2"/>
      </rPr>
      <t>)</t>
    </r>
  </si>
  <si>
    <t>Sat or Sun</t>
  </si>
  <si>
    <t>Productivity Report Name or Other Source</t>
  </si>
  <si>
    <t>Saturday</t>
  </si>
  <si>
    <t>Sunday</t>
  </si>
  <si>
    <r>
      <t>Operating</t>
    </r>
    <r>
      <rPr>
        <sz val="10"/>
        <color rgb="FF0033CC"/>
        <rFont val="Arial"/>
        <family val="2"/>
      </rPr>
      <t xml:space="preserve"> Saturdays</t>
    </r>
  </si>
  <si>
    <r>
      <t xml:space="preserve">Operating </t>
    </r>
    <r>
      <rPr>
        <sz val="10"/>
        <color rgb="FF0033CC"/>
        <rFont val="Arial"/>
        <family val="2"/>
      </rPr>
      <t>Sundays</t>
    </r>
  </si>
  <si>
    <t>DO NOT EDIT             Automatically Calculates from Other Prior Tabs              DO NOT EDIT</t>
  </si>
  <si>
    <t>ROUTEMATCH TOTALS               DO NOT EDIT</t>
  </si>
  <si>
    <t>DR/SUB</t>
  </si>
  <si>
    <t>SATURDAY - DO NOT EDIT</t>
  </si>
  <si>
    <r>
      <t>Non-Contract (RGP/Public) (</t>
    </r>
    <r>
      <rPr>
        <sz val="10"/>
        <color rgb="FF0033CC"/>
        <rFont val="Arial"/>
        <family val="2"/>
      </rPr>
      <t>Saturday</t>
    </r>
    <r>
      <rPr>
        <sz val="10"/>
        <rFont val="Arial"/>
        <family val="2"/>
      </rPr>
      <t>)</t>
    </r>
  </si>
  <si>
    <r>
      <t>ADA Comparable Paratransit (</t>
    </r>
    <r>
      <rPr>
        <sz val="10"/>
        <color rgb="FF0033CC"/>
        <rFont val="Arial"/>
        <family val="2"/>
      </rPr>
      <t>Saturday</t>
    </r>
    <r>
      <rPr>
        <sz val="10"/>
        <rFont val="Arial"/>
        <family val="2"/>
      </rPr>
      <t>)</t>
    </r>
  </si>
  <si>
    <r>
      <t>Medicaid Contract (</t>
    </r>
    <r>
      <rPr>
        <sz val="10"/>
        <color rgb="FF0033CC"/>
        <rFont val="Arial"/>
        <family val="2"/>
      </rPr>
      <t>Saturday</t>
    </r>
    <r>
      <rPr>
        <sz val="10"/>
        <rFont val="Arial"/>
        <family val="2"/>
      </rPr>
      <t>)</t>
    </r>
  </si>
  <si>
    <t>SUNDAY - DO NOT EDIT</t>
  </si>
  <si>
    <t xml:space="preserve">Monthly Invoice Summary </t>
  </si>
  <si>
    <t>A</t>
  </si>
  <si>
    <t>B</t>
  </si>
  <si>
    <t>C</t>
  </si>
  <si>
    <t>D</t>
  </si>
  <si>
    <t>E</t>
  </si>
  <si>
    <t>F</t>
  </si>
  <si>
    <t>G</t>
  </si>
  <si>
    <t>H</t>
  </si>
  <si>
    <t>I</t>
  </si>
  <si>
    <t>J</t>
  </si>
  <si>
    <t>K</t>
  </si>
  <si>
    <t>L</t>
  </si>
  <si>
    <t>Fixed Route</t>
  </si>
  <si>
    <t>Dial-A-Ride</t>
  </si>
  <si>
    <t>Light Rail</t>
  </si>
  <si>
    <t>AM/PM Peak Period Cars</t>
  </si>
  <si>
    <t>Midday Cars</t>
  </si>
  <si>
    <t>Train Revenue Miles</t>
  </si>
  <si>
    <t>Train Revenue Hours</t>
  </si>
  <si>
    <t>Street Car</t>
  </si>
  <si>
    <t>M</t>
  </si>
  <si>
    <t>N</t>
  </si>
  <si>
    <t>O</t>
  </si>
  <si>
    <t>P</t>
  </si>
  <si>
    <t>Customer Satisfaction</t>
  </si>
  <si>
    <t>Demand Response Directly Operated (DR DO)</t>
  </si>
  <si>
    <t>Hours</t>
  </si>
  <si>
    <t>Passenger Trips: Non-Contract</t>
  </si>
  <si>
    <t xml:space="preserve">                            Medicaid Contract</t>
  </si>
  <si>
    <t xml:space="preserve">                            Non-Medicaid Contract</t>
  </si>
  <si>
    <t>Total Passenger Trips for This Mode</t>
  </si>
  <si>
    <t>Demand Response Purchased (DR PT)</t>
  </si>
  <si>
    <t>Fixed Route Directly Operated (MB DO)</t>
  </si>
  <si>
    <t>Fixed Route Purchased (MB PT)</t>
  </si>
  <si>
    <t>Total Passenger Trips- Other Providers</t>
  </si>
  <si>
    <t>Transit Totals</t>
  </si>
  <si>
    <t>Total Passenger Trips for All Modes</t>
  </si>
  <si>
    <t>2. WEEKDAY: Buncombe County (21)</t>
  </si>
  <si>
    <t xml:space="preserve">3. SATURDAY: </t>
  </si>
  <si>
    <t>3. SATURDAY: Buncombe County (21)</t>
  </si>
  <si>
    <t>4. SUNDAY: Buncombe County (21)</t>
  </si>
  <si>
    <t xml:space="preserve">2. WEEKDAY: </t>
  </si>
  <si>
    <t>NCDOT CT OpStats (NCDOT Required Form)</t>
  </si>
  <si>
    <t>Provided by Mountain Mobility, Buncombe County's Community Transportation System on 15th day of the month following the month of service.</t>
  </si>
  <si>
    <t>Mountain Mobility - ADA Complementary Paratransit Services Evaluation</t>
  </si>
  <si>
    <t>FOR INTERNAL USE ONLY                                                              FOR INTERNAL USE ONLY                                                              FOR INTERNAL USE ONLY</t>
  </si>
  <si>
    <t>Enter information in red shaded cells from prior year Service Report by County Staff. The final red shaded cell can only be inserted by County Staff after year end fully allocated costs for ADA services are calculated.</t>
  </si>
  <si>
    <t>Medical (Total Revenue Trips)</t>
  </si>
  <si>
    <t>Employment (Total Revenue Trips)</t>
  </si>
  <si>
    <t>Day Programs (Total Revenue Trips)</t>
  </si>
  <si>
    <t>MP/General (Total Revenue Trips)</t>
  </si>
  <si>
    <t>SC/Grocery (Total Revenue Trips)</t>
  </si>
  <si>
    <t>Shopping (Total Revenue Trips)</t>
  </si>
  <si>
    <t>Trailblazers (Total Revenue Trips)</t>
  </si>
  <si>
    <t>ART/ADA (Total Revenue Trips)</t>
  </si>
  <si>
    <t>DSS/Medicaid (Total Revenue Trips)</t>
  </si>
  <si>
    <t>Other (Total Revenue Trips)</t>
  </si>
  <si>
    <t>Passenger Trips (Subscription)</t>
  </si>
  <si>
    <t>Passenger Trips (DR)</t>
  </si>
  <si>
    <t>Summary Stats</t>
  </si>
  <si>
    <t>Trips Scheduled - Saturday</t>
  </si>
  <si>
    <t>Trips Scheduled - Sunday</t>
  </si>
  <si>
    <t>Mileage and Breakdown Report</t>
  </si>
  <si>
    <t>Total Odometer Miles Revenue Vehicles</t>
  </si>
  <si>
    <t>OTP Report</t>
  </si>
  <si>
    <t>\</t>
  </si>
  <si>
    <t>Grand Total Cancels</t>
  </si>
  <si>
    <t>Grand Total Wheelchairs</t>
  </si>
  <si>
    <t>Denials (Reported by MM Operations)</t>
  </si>
  <si>
    <t xml:space="preserve">4. SUNDAY: </t>
  </si>
  <si>
    <t>Number of Months Completed in FY</t>
  </si>
  <si>
    <t>Vehicle Utilization Workbook</t>
  </si>
  <si>
    <t>Enter information in red shaded cells by County Staff. These values are assessed using the applicable recent VUD Report (April VUD for Apr/May/Jun/Jul and August VUD for Aug/Sep/Oct/Nov/Dec/Jan/Feb/Mar).</t>
  </si>
  <si>
    <t>Source: NC Commerce Department - Buncombe County Profile</t>
  </si>
  <si>
    <t>Source: Most recent applicable VUD Report (April VUD for Apr/May/Jun/Jul and August VUD for Aug/Sep/Oct/Nov/Dec/Jan/Feb/Mar).</t>
  </si>
  <si>
    <t>RM Report Data</t>
  </si>
  <si>
    <t>Monthly Ridership Form - DR-PT</t>
  </si>
  <si>
    <t>Form</t>
  </si>
  <si>
    <t>UPT</t>
  </si>
  <si>
    <t>VRM</t>
  </si>
  <si>
    <t>VRH</t>
  </si>
  <si>
    <t>VOMS</t>
  </si>
  <si>
    <t>-</t>
  </si>
  <si>
    <t>Monthly Ridership Form - MB-PT</t>
  </si>
  <si>
    <t xml:space="preserve">Service Report Transfer Data to Financial Report </t>
  </si>
  <si>
    <t xml:space="preserve">ADA Purchased Transportation </t>
  </si>
  <si>
    <t>Values to transfer to Financial Report Tab</t>
  </si>
  <si>
    <t>Demand Response (Non ART/ADA)</t>
  </si>
  <si>
    <t>ART/ADA Demand Response</t>
  </si>
  <si>
    <t>Trailblazer (MB)</t>
  </si>
  <si>
    <r>
      <t>Productivity by funding (</t>
    </r>
    <r>
      <rPr>
        <sz val="10"/>
        <color rgb="FF0033CC"/>
        <rFont val="Arial"/>
        <family val="2"/>
      </rPr>
      <t>Saturday</t>
    </r>
    <r>
      <rPr>
        <sz val="10"/>
        <rFont val="Arial"/>
        <family val="2"/>
      </rPr>
      <t>)</t>
    </r>
  </si>
  <si>
    <t>FY 2019</t>
  </si>
  <si>
    <t>FY 2020</t>
  </si>
  <si>
    <t>No. of Trips</t>
  </si>
  <si>
    <t>Funding Source/Agency Billed</t>
  </si>
  <si>
    <t>MountainCare Adult Day Services</t>
  </si>
  <si>
    <t>DayStay Adult Day Services</t>
  </si>
  <si>
    <t>FY 20 YTD</t>
  </si>
  <si>
    <t>Total Per RouteMatch Annual Op Stats Report 12/2019</t>
  </si>
  <si>
    <t>Service Miles by Agency</t>
  </si>
  <si>
    <t>Monthly OpStats Totals</t>
  </si>
  <si>
    <t>FY 2029</t>
  </si>
  <si>
    <t>ADA Comparable Paratransit (Unweighted)</t>
  </si>
  <si>
    <t xml:space="preserve">ADA Comparable Paratransit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</si>
</sst>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0;[Red]#,##0"/>
    <numFmt numFmtId="167" formatCode="0.0%"/>
    <numFmt numFmtId="168" formatCode="#,##0.0"/>
    <numFmt numFmtId="169" formatCode="&quot;$&quot;#,##0"/>
  </numFmts>
  <fonts count="121">
    <font>
      <sz val="10"/>
      <name val="Arial"/>
    </font>
    <font>
      <sz val="10"/>
      <name val="Arial"/>
      <family val="2"/>
    </font>
    <font>
      <b/>
      <sz val="12"/>
      <name val="Arial"/>
      <family val="2"/>
    </font>
    <font>
      <b/>
      <sz val="14"/>
      <name val="Arial"/>
      <family val="2"/>
    </font>
    <font>
      <sz val="12"/>
      <name val="Arial"/>
      <family val="2"/>
    </font>
    <font>
      <b/>
      <sz val="10"/>
      <name val="Arial"/>
      <family val="2"/>
    </font>
    <font>
      <sz val="10"/>
      <name val="Arial"/>
      <family val="2"/>
    </font>
    <font>
      <sz val="8"/>
      <color indexed="81"/>
      <name val="Tahoma"/>
      <family val="2"/>
    </font>
    <font>
      <b/>
      <sz val="8"/>
      <color indexed="81"/>
      <name val="Tahoma"/>
      <family val="2"/>
    </font>
    <font>
      <sz val="10"/>
      <color indexed="12"/>
      <name val="Arial"/>
      <family val="2"/>
    </font>
    <font>
      <b/>
      <sz val="10"/>
      <color indexed="12"/>
      <name val="Arial"/>
      <family val="2"/>
    </font>
    <font>
      <b/>
      <sz val="10"/>
      <color indexed="10"/>
      <name val="Arial"/>
      <family val="2"/>
    </font>
    <font>
      <b/>
      <sz val="16"/>
      <name val="Arial"/>
      <family val="2"/>
    </font>
    <font>
      <i/>
      <sz val="8"/>
      <name val="Arial"/>
      <family val="2"/>
    </font>
    <font>
      <sz val="8"/>
      <name val="Arial"/>
      <family val="2"/>
    </font>
    <font>
      <b/>
      <sz val="11"/>
      <name val="Arial"/>
      <family val="2"/>
    </font>
    <font>
      <sz val="11"/>
      <color indexed="8"/>
      <name val="Calibri"/>
      <family val="2"/>
    </font>
    <font>
      <b/>
      <sz val="14"/>
      <color indexed="9"/>
      <name val="Arial"/>
      <family val="2"/>
    </font>
    <font>
      <b/>
      <sz val="9"/>
      <color indexed="9"/>
      <name val="Arial"/>
      <family val="2"/>
    </font>
    <font>
      <b/>
      <u/>
      <sz val="10"/>
      <name val="Arial"/>
      <family val="2"/>
    </font>
    <font>
      <sz val="8"/>
      <name val="Arial"/>
      <family val="2"/>
    </font>
    <font>
      <b/>
      <sz val="10"/>
      <color indexed="9"/>
      <name val="Arial"/>
      <family val="2"/>
    </font>
    <font>
      <sz val="10"/>
      <name val="Arial"/>
      <family val="2"/>
    </font>
    <font>
      <b/>
      <sz val="10"/>
      <color indexed="9"/>
      <name val="Arial"/>
      <family val="2"/>
    </font>
    <font>
      <sz val="10"/>
      <color indexed="9"/>
      <name val="Arial"/>
      <family val="2"/>
    </font>
    <font>
      <i/>
      <sz val="10"/>
      <name val="Arial"/>
      <family val="2"/>
    </font>
    <font>
      <i/>
      <sz val="9"/>
      <name val="Arial"/>
      <family val="2"/>
    </font>
    <font>
      <b/>
      <i/>
      <sz val="10"/>
      <name val="Arial"/>
      <family val="2"/>
    </font>
    <font>
      <b/>
      <sz val="9"/>
      <name val="Arial"/>
      <family val="2"/>
    </font>
    <font>
      <sz val="9"/>
      <color indexed="81"/>
      <name val="Tahoma"/>
      <family val="2"/>
    </font>
    <font>
      <b/>
      <sz val="9"/>
      <color indexed="81"/>
      <name val="Tahoma"/>
      <family val="2"/>
    </font>
    <font>
      <sz val="10"/>
      <name val="Calibri"/>
      <family val="2"/>
    </font>
    <font>
      <u/>
      <sz val="10"/>
      <name val="Arial"/>
      <family val="2"/>
    </font>
    <font>
      <sz val="10"/>
      <color indexed="9"/>
      <name val="Arial"/>
      <family val="2"/>
    </font>
    <font>
      <sz val="8"/>
      <name val="Arial"/>
      <family val="2"/>
    </font>
    <font>
      <b/>
      <sz val="8"/>
      <name val="Arial"/>
      <family val="2"/>
    </font>
    <font>
      <sz val="9"/>
      <name val="Arial"/>
      <family val="2"/>
    </font>
    <font>
      <sz val="11"/>
      <color theme="1"/>
      <name val="Calibri"/>
      <family val="2"/>
      <scheme val="minor"/>
    </font>
    <font>
      <u/>
      <sz val="10"/>
      <color theme="10"/>
      <name val="Arial"/>
      <family val="2"/>
    </font>
    <font>
      <i/>
      <sz val="10"/>
      <color rgb="FFFF0000"/>
      <name val="Arial"/>
      <family val="2"/>
    </font>
    <font>
      <b/>
      <sz val="10"/>
      <color rgb="FFFF0000"/>
      <name val="Arial"/>
      <family val="2"/>
    </font>
    <font>
      <b/>
      <i/>
      <sz val="18"/>
      <color rgb="FFFF0000"/>
      <name val="Arial"/>
      <family val="2"/>
    </font>
    <font>
      <b/>
      <i/>
      <sz val="14"/>
      <color rgb="FFFF0000"/>
      <name val="Arial"/>
      <family val="2"/>
    </font>
    <font>
      <i/>
      <sz val="8"/>
      <color rgb="FFFF0000"/>
      <name val="Arial"/>
      <family val="2"/>
    </font>
    <font>
      <b/>
      <sz val="9"/>
      <color rgb="FFFF0000"/>
      <name val="Arial"/>
      <family val="2"/>
    </font>
    <font>
      <b/>
      <i/>
      <sz val="10"/>
      <color rgb="FFFF0000"/>
      <name val="Arial"/>
      <family val="2"/>
    </font>
    <font>
      <b/>
      <sz val="8"/>
      <color rgb="FFC00000"/>
      <name val="Arial"/>
      <family val="2"/>
    </font>
    <font>
      <sz val="8"/>
      <color rgb="FFC00000"/>
      <name val="Arial"/>
      <family val="2"/>
    </font>
    <font>
      <b/>
      <sz val="10"/>
      <color rgb="FFC00000"/>
      <name val="Arial"/>
      <family val="2"/>
    </font>
    <font>
      <i/>
      <sz val="8"/>
      <color rgb="FFC00000"/>
      <name val="Arial"/>
      <family val="2"/>
    </font>
    <font>
      <b/>
      <i/>
      <sz val="9"/>
      <name val="Arial"/>
      <family val="2"/>
    </font>
    <font>
      <b/>
      <sz val="10"/>
      <color rgb="FFFFFF00"/>
      <name val="Arial"/>
      <family val="2"/>
    </font>
    <font>
      <b/>
      <sz val="9"/>
      <color rgb="FFC00000"/>
      <name val="Arial"/>
      <family val="2"/>
    </font>
    <font>
      <b/>
      <sz val="9"/>
      <color rgb="FF0033CC"/>
      <name val="Arial"/>
      <family val="2"/>
    </font>
    <font>
      <sz val="9"/>
      <color rgb="FF0033CC"/>
      <name val="Arial"/>
      <family val="2"/>
    </font>
    <font>
      <sz val="10"/>
      <color rgb="FF0033CC"/>
      <name val="Arial"/>
      <family val="2"/>
    </font>
    <font>
      <i/>
      <sz val="11.5"/>
      <color rgb="FF000000"/>
      <name val="Calibri"/>
      <family val="2"/>
    </font>
    <font>
      <sz val="9"/>
      <color theme="3"/>
      <name val="Aharoni"/>
      <charset val="177"/>
    </font>
    <font>
      <b/>
      <sz val="18"/>
      <color theme="3" tint="-0.249977111117893"/>
      <name val="Arial"/>
      <family val="2"/>
    </font>
    <font>
      <sz val="18"/>
      <name val="Arial"/>
      <family val="2"/>
    </font>
    <font>
      <sz val="10"/>
      <color theme="3" tint="-0.249977111117893"/>
      <name val="Arial"/>
      <family val="2"/>
    </font>
    <font>
      <sz val="8"/>
      <color theme="3"/>
      <name val="Aharoni"/>
      <charset val="177"/>
    </font>
    <font>
      <b/>
      <sz val="8"/>
      <color theme="3"/>
      <name val="Aharoni"/>
      <charset val="177"/>
    </font>
    <font>
      <b/>
      <sz val="8"/>
      <color theme="3" tint="-0.249977111117893"/>
      <name val="Aharoni"/>
      <charset val="177"/>
    </font>
    <font>
      <b/>
      <sz val="9"/>
      <color theme="3"/>
      <name val="Aharoni"/>
      <charset val="177"/>
    </font>
    <font>
      <b/>
      <sz val="14"/>
      <color theme="0"/>
      <name val="Arial"/>
      <family val="2"/>
    </font>
    <font>
      <b/>
      <sz val="9"/>
      <color theme="0"/>
      <name val="Arial"/>
      <family val="2"/>
    </font>
    <font>
      <b/>
      <sz val="11"/>
      <color theme="3"/>
      <name val="Aharoni"/>
      <charset val="177"/>
    </font>
    <font>
      <sz val="11"/>
      <color theme="3"/>
      <name val="Aharoni"/>
      <charset val="177"/>
    </font>
    <font>
      <sz val="14"/>
      <name val="Arial"/>
      <family val="2"/>
    </font>
    <font>
      <sz val="8"/>
      <color rgb="FF0000FF"/>
      <name val="Arial"/>
      <family val="2"/>
    </font>
    <font>
      <sz val="9"/>
      <color theme="3"/>
      <name val="Arial"/>
      <family val="2"/>
    </font>
    <font>
      <sz val="8"/>
      <color theme="3"/>
      <name val="Arial"/>
      <family val="2"/>
    </font>
    <font>
      <b/>
      <sz val="18"/>
      <color theme="3"/>
      <name val="Arial"/>
      <family val="2"/>
    </font>
    <font>
      <sz val="11"/>
      <name val="Aharoni"/>
      <charset val="177"/>
    </font>
    <font>
      <sz val="11"/>
      <color theme="0"/>
      <name val="Aharoni"/>
      <charset val="177"/>
    </font>
    <font>
      <sz val="14"/>
      <color theme="3"/>
      <name val="Arial"/>
      <family val="2"/>
    </font>
    <font>
      <sz val="10"/>
      <color theme="0"/>
      <name val="Arial"/>
      <family val="2"/>
    </font>
    <font>
      <sz val="18"/>
      <color theme="0"/>
      <name val="Arial"/>
      <family val="2"/>
    </font>
    <font>
      <sz val="12"/>
      <color indexed="12"/>
      <name val="Arial"/>
      <family val="2"/>
    </font>
    <font>
      <i/>
      <sz val="12"/>
      <name val="Arial"/>
      <family val="2"/>
    </font>
    <font>
      <b/>
      <sz val="12"/>
      <color indexed="9"/>
      <name val="Arial"/>
      <family val="2"/>
    </font>
    <font>
      <b/>
      <sz val="12"/>
      <color indexed="12"/>
      <name val="Arial"/>
      <family val="2"/>
    </font>
    <font>
      <b/>
      <i/>
      <sz val="12"/>
      <color theme="0"/>
      <name val="Arial"/>
      <family val="2"/>
    </font>
    <font>
      <b/>
      <sz val="12"/>
      <color rgb="FFFF0000"/>
      <name val="Arial"/>
      <family val="2"/>
    </font>
    <font>
      <b/>
      <i/>
      <sz val="12"/>
      <name val="Arial"/>
      <family val="2"/>
    </font>
    <font>
      <b/>
      <sz val="12"/>
      <color theme="0"/>
      <name val="Arial"/>
      <family val="2"/>
    </font>
    <font>
      <b/>
      <sz val="12"/>
      <color rgb="FF0033CC"/>
      <name val="Arial"/>
      <family val="2"/>
    </font>
    <font>
      <b/>
      <i/>
      <sz val="12"/>
      <color rgb="FF0033CC"/>
      <name val="Arial"/>
      <family val="2"/>
    </font>
    <font>
      <sz val="12"/>
      <color rgb="FF0033CC"/>
      <name val="Arial"/>
      <family val="2"/>
    </font>
    <font>
      <b/>
      <i/>
      <sz val="12"/>
      <color rgb="FFFF0000"/>
      <name val="Arial"/>
      <family val="2"/>
    </font>
    <font>
      <sz val="12"/>
      <color theme="0" tint="-0.249977111117893"/>
      <name val="Arial"/>
      <family val="2"/>
    </font>
    <font>
      <sz val="12"/>
      <color theme="0" tint="-0.34998626667073579"/>
      <name val="Arial"/>
      <family val="2"/>
    </font>
    <font>
      <b/>
      <sz val="11"/>
      <color theme="0"/>
      <name val="Calibri"/>
      <family val="2"/>
      <scheme val="minor"/>
    </font>
    <font>
      <sz val="8"/>
      <color theme="0"/>
      <name val="Arial"/>
      <family val="2"/>
    </font>
    <font>
      <b/>
      <sz val="10"/>
      <color theme="0"/>
      <name val="Arial"/>
      <family val="2"/>
    </font>
    <font>
      <sz val="14"/>
      <name val="Calibri"/>
      <family val="2"/>
      <scheme val="minor"/>
    </font>
    <font>
      <sz val="12"/>
      <name val="Calibri"/>
      <family val="2"/>
      <scheme val="minor"/>
    </font>
    <font>
      <b/>
      <sz val="12"/>
      <name val="Calibri"/>
      <family val="2"/>
      <scheme val="minor"/>
    </font>
    <font>
      <sz val="12"/>
      <color indexed="12"/>
      <name val="Calibri"/>
      <family val="2"/>
      <scheme val="minor"/>
    </font>
    <font>
      <i/>
      <sz val="12"/>
      <name val="Calibri"/>
      <family val="2"/>
      <scheme val="minor"/>
    </font>
    <font>
      <b/>
      <sz val="12"/>
      <color indexed="12"/>
      <name val="Calibri"/>
      <family val="2"/>
      <scheme val="minor"/>
    </font>
    <font>
      <b/>
      <i/>
      <sz val="12"/>
      <name val="Calibri"/>
      <family val="2"/>
      <scheme val="minor"/>
    </font>
    <font>
      <b/>
      <sz val="16"/>
      <name val="Calibri"/>
      <family val="2"/>
      <scheme val="minor"/>
    </font>
    <font>
      <b/>
      <sz val="12"/>
      <color theme="0"/>
      <name val="Calibri"/>
      <family val="2"/>
      <scheme val="minor"/>
    </font>
    <font>
      <b/>
      <sz val="9"/>
      <color theme="0"/>
      <name val="Calibri"/>
      <family val="2"/>
      <scheme val="minor"/>
    </font>
    <font>
      <b/>
      <sz val="10"/>
      <name val="Calibri"/>
      <family val="2"/>
      <scheme val="minor"/>
    </font>
    <font>
      <b/>
      <sz val="9"/>
      <name val="Calibri"/>
      <family val="2"/>
      <scheme val="minor"/>
    </font>
    <font>
      <sz val="10"/>
      <name val="Calibri"/>
      <family val="2"/>
      <scheme val="minor"/>
    </font>
    <font>
      <b/>
      <sz val="10"/>
      <color indexed="12"/>
      <name val="Calibri"/>
      <family val="2"/>
      <scheme val="minor"/>
    </font>
    <font>
      <b/>
      <sz val="11"/>
      <name val="Calibri"/>
      <family val="2"/>
      <scheme val="minor"/>
    </font>
    <font>
      <sz val="9"/>
      <name val="Calibri"/>
      <family val="2"/>
      <scheme val="minor"/>
    </font>
    <font>
      <b/>
      <i/>
      <sz val="9"/>
      <name val="Calibri"/>
      <family val="2"/>
      <scheme val="minor"/>
    </font>
    <font>
      <sz val="8"/>
      <color rgb="FFC00000"/>
      <name val="Calibri"/>
      <family val="2"/>
      <scheme val="minor"/>
    </font>
    <font>
      <b/>
      <sz val="8"/>
      <color rgb="FFC00000"/>
      <name val="Calibri"/>
      <family val="2"/>
      <scheme val="minor"/>
    </font>
    <font>
      <i/>
      <sz val="8"/>
      <color rgb="FFC00000"/>
      <name val="Calibri"/>
      <family val="2"/>
      <scheme val="minor"/>
    </font>
    <font>
      <b/>
      <i/>
      <sz val="9"/>
      <color rgb="FFFF0000"/>
      <name val="Calibri"/>
      <family val="2"/>
      <scheme val="minor"/>
    </font>
    <font>
      <sz val="12"/>
      <color theme="0"/>
      <name val="Calibri"/>
      <family val="2"/>
      <scheme val="minor"/>
    </font>
    <font>
      <sz val="12"/>
      <color rgb="FFC00000"/>
      <name val="Calibri"/>
      <family val="2"/>
      <scheme val="minor"/>
    </font>
    <font>
      <i/>
      <sz val="12"/>
      <color rgb="FFC00000"/>
      <name val="Calibri"/>
      <family val="2"/>
      <scheme val="minor"/>
    </font>
    <font>
      <b/>
      <sz val="12"/>
      <color rgb="FFC00000"/>
      <name val="Calibri"/>
      <family val="2"/>
      <scheme val="minor"/>
    </font>
  </fonts>
  <fills count="34">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
      <patternFill patternType="solid">
        <fgColor indexed="26"/>
        <bgColor indexed="64"/>
      </patternFill>
    </fill>
    <fill>
      <patternFill patternType="mediumGray">
        <bgColor indexed="8"/>
      </patternFill>
    </fill>
    <fill>
      <patternFill patternType="solid">
        <fgColor rgb="FFCCFFCC"/>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C00"/>
        <bgColor indexed="64"/>
      </patternFill>
    </fill>
    <fill>
      <patternFill patternType="solid">
        <fgColor theme="0"/>
        <bgColor indexed="64"/>
      </patternFill>
    </fill>
    <fill>
      <patternFill patternType="solid">
        <fgColor theme="0" tint="-0.499984740745262"/>
        <bgColor indexed="64"/>
      </patternFill>
    </fill>
    <fill>
      <patternFill patternType="solid">
        <fgColor theme="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rgb="FFB7DEE8"/>
        <bgColor indexed="64"/>
      </patternFill>
    </fill>
    <fill>
      <patternFill patternType="solid">
        <fgColor rgb="FFFFC000"/>
        <bgColor indexed="64"/>
      </patternFill>
    </fill>
    <fill>
      <patternFill patternType="solid">
        <fgColor theme="5" tint="0.59999389629810485"/>
        <bgColor indexed="64"/>
      </patternFill>
    </fill>
  </fills>
  <borders count="43">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s>
  <cellStyleXfs count="21">
    <xf numFmtId="0" fontId="0" fillId="0" borderId="0"/>
    <xf numFmtId="43" fontId="1"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2" fillId="0" borderId="0" applyFont="0" applyFill="0" applyBorder="0" applyAlignment="0" applyProtection="0"/>
    <xf numFmtId="44" fontId="6" fillId="0" borderId="0" applyFont="0" applyFill="0" applyBorder="0" applyAlignment="0" applyProtection="0"/>
    <xf numFmtId="0" fontId="38" fillId="0" borderId="0" applyNumberFormat="0" applyFill="0" applyBorder="0" applyAlignment="0" applyProtection="0">
      <alignment vertical="top"/>
      <protection locked="0"/>
    </xf>
    <xf numFmtId="0" fontId="6" fillId="0" borderId="0"/>
    <xf numFmtId="0" fontId="6" fillId="0" borderId="0"/>
    <xf numFmtId="0" fontId="37" fillId="0" borderId="0"/>
    <xf numFmtId="0" fontId="6" fillId="0" borderId="0"/>
    <xf numFmtId="9" fontId="1"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0" fontId="1" fillId="0" borderId="0"/>
    <xf numFmtId="0" fontId="1" fillId="0" borderId="0"/>
  </cellStyleXfs>
  <cellXfs count="1136">
    <xf numFmtId="0" fontId="0" fillId="0" borderId="0" xfId="0"/>
    <xf numFmtId="0" fontId="4" fillId="0" borderId="0" xfId="0" applyFont="1"/>
    <xf numFmtId="0" fontId="5" fillId="0" borderId="0" xfId="0" applyFont="1"/>
    <xf numFmtId="0" fontId="6" fillId="0" borderId="0" xfId="0" applyFont="1"/>
    <xf numFmtId="0" fontId="0" fillId="2" borderId="0" xfId="0" applyFill="1"/>
    <xf numFmtId="17" fontId="5" fillId="2" borderId="0" xfId="0" applyNumberFormat="1" applyFont="1" applyFill="1" applyAlignment="1">
      <alignment horizontal="right"/>
    </xf>
    <xf numFmtId="0" fontId="9" fillId="0" borderId="0" xfId="0" applyFont="1"/>
    <xf numFmtId="17" fontId="10" fillId="0" borderId="0" xfId="0" applyNumberFormat="1" applyFont="1" applyAlignment="1">
      <alignment horizontal="right"/>
    </xf>
    <xf numFmtId="0" fontId="4" fillId="0" borderId="0" xfId="0" applyFont="1" applyFill="1"/>
    <xf numFmtId="0" fontId="5" fillId="0" borderId="0" xfId="0" applyFont="1" applyFill="1"/>
    <xf numFmtId="2" fontId="5" fillId="0" borderId="0" xfId="0" applyNumberFormat="1" applyFont="1" applyAlignment="1">
      <alignment horizontal="right"/>
    </xf>
    <xf numFmtId="0" fontId="5" fillId="0" borderId="0" xfId="0" applyFont="1" applyAlignment="1">
      <alignment horizontal="center"/>
    </xf>
    <xf numFmtId="0" fontId="0" fillId="0" borderId="0" xfId="0" applyAlignment="1">
      <alignment horizontal="center"/>
    </xf>
    <xf numFmtId="0" fontId="0" fillId="0" borderId="0" xfId="0" applyFill="1" applyBorder="1"/>
    <xf numFmtId="14" fontId="0" fillId="0" borderId="0" xfId="0" applyNumberFormat="1"/>
    <xf numFmtId="0" fontId="0" fillId="0" borderId="0" xfId="0" quotePrefix="1"/>
    <xf numFmtId="3" fontId="0" fillId="0" borderId="0" xfId="0" quotePrefix="1" applyNumberFormat="1"/>
    <xf numFmtId="3" fontId="0" fillId="0" borderId="0" xfId="0" applyNumberFormat="1"/>
    <xf numFmtId="8" fontId="0" fillId="0" borderId="0" xfId="0" quotePrefix="1" applyNumberFormat="1"/>
    <xf numFmtId="8" fontId="0" fillId="0" borderId="0" xfId="0" applyNumberFormat="1"/>
    <xf numFmtId="3" fontId="5" fillId="0" borderId="0" xfId="0" quotePrefix="1" applyNumberFormat="1" applyFont="1"/>
    <xf numFmtId="8" fontId="5" fillId="0" borderId="0" xfId="0" applyNumberFormat="1" applyFont="1"/>
    <xf numFmtId="3" fontId="5" fillId="0" borderId="0" xfId="0" applyNumberFormat="1" applyFont="1"/>
    <xf numFmtId="2" fontId="10" fillId="0" borderId="0" xfId="0" applyNumberFormat="1" applyFont="1" applyAlignment="1">
      <alignment horizontal="right"/>
    </xf>
    <xf numFmtId="0" fontId="2" fillId="0" borderId="0" xfId="0" applyFont="1"/>
    <xf numFmtId="0" fontId="0" fillId="0" borderId="7" xfId="0" applyBorder="1"/>
    <xf numFmtId="0" fontId="0" fillId="0" borderId="8" xfId="0" applyBorder="1"/>
    <xf numFmtId="0" fontId="6" fillId="0" borderId="0" xfId="0" applyFont="1" applyAlignment="1">
      <alignment horizontal="center"/>
    </xf>
    <xf numFmtId="0" fontId="6" fillId="0" borderId="0" xfId="0" applyFont="1" applyBorder="1" applyAlignment="1">
      <alignment horizontal="center"/>
    </xf>
    <xf numFmtId="9" fontId="6" fillId="0" borderId="0" xfId="0" applyNumberFormat="1" applyFont="1" applyAlignment="1">
      <alignment horizontal="center"/>
    </xf>
    <xf numFmtId="2" fontId="11" fillId="0" borderId="0" xfId="0" applyNumberFormat="1" applyFont="1" applyAlignment="1">
      <alignment horizontal="right"/>
    </xf>
    <xf numFmtId="165" fontId="5" fillId="0" borderId="0" xfId="1" applyNumberFormat="1" applyFont="1" applyFill="1" applyAlignment="1">
      <alignment horizontal="right"/>
    </xf>
    <xf numFmtId="2" fontId="6" fillId="0" borderId="0" xfId="0" applyNumberFormat="1" applyFont="1"/>
    <xf numFmtId="0" fontId="3" fillId="0" borderId="0" xfId="0" applyFont="1" applyAlignment="1">
      <alignment horizontal="left" vertical="center"/>
    </xf>
    <xf numFmtId="0" fontId="3" fillId="0" borderId="0" xfId="0" applyFont="1"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xf numFmtId="0" fontId="3" fillId="0" borderId="0" xfId="0" applyFont="1" applyFill="1" applyBorder="1" applyAlignment="1">
      <alignment vertical="center"/>
    </xf>
    <xf numFmtId="0" fontId="0" fillId="0" borderId="14" xfId="0" applyBorder="1"/>
    <xf numFmtId="0" fontId="21" fillId="0" borderId="4" xfId="0" applyFont="1" applyFill="1" applyBorder="1" applyAlignment="1">
      <alignment horizontal="center"/>
    </xf>
    <xf numFmtId="0" fontId="10" fillId="0" borderId="0" xfId="0" applyFont="1" applyFill="1" applyBorder="1" applyAlignment="1">
      <alignment horizontal="center"/>
    </xf>
    <xf numFmtId="0" fontId="5" fillId="0" borderId="17" xfId="0" applyFont="1" applyBorder="1" applyAlignment="1">
      <alignment horizontal="center"/>
    </xf>
    <xf numFmtId="0" fontId="21" fillId="0" borderId="0" xfId="0" applyFont="1" applyFill="1" applyBorder="1" applyAlignment="1">
      <alignment horizontal="center"/>
    </xf>
    <xf numFmtId="0" fontId="21" fillId="7" borderId="17" xfId="0" applyFont="1" applyFill="1" applyBorder="1" applyAlignment="1">
      <alignment horizontal="center"/>
    </xf>
    <xf numFmtId="0" fontId="5" fillId="0" borderId="12" xfId="0" applyFont="1" applyBorder="1" applyAlignment="1">
      <alignment horizontal="center"/>
    </xf>
    <xf numFmtId="0" fontId="21" fillId="0" borderId="1" xfId="0" applyFont="1" applyFill="1" applyBorder="1" applyAlignment="1">
      <alignment horizontal="center"/>
    </xf>
    <xf numFmtId="0" fontId="21" fillId="7" borderId="12" xfId="0" applyFont="1" applyFill="1" applyBorder="1" applyAlignment="1">
      <alignment horizontal="center"/>
    </xf>
    <xf numFmtId="38" fontId="0" fillId="0" borderId="0" xfId="0" applyNumberFormat="1" applyFill="1" applyBorder="1" applyAlignment="1"/>
    <xf numFmtId="38" fontId="0" fillId="0" borderId="12" xfId="0" applyNumberFormat="1" applyBorder="1" applyAlignment="1"/>
    <xf numFmtId="0" fontId="5" fillId="0" borderId="10" xfId="0" applyFont="1" applyFill="1" applyBorder="1"/>
    <xf numFmtId="165" fontId="9" fillId="0" borderId="0" xfId="1" applyNumberFormat="1" applyFont="1" applyFill="1" applyAlignment="1">
      <alignment horizontal="right"/>
    </xf>
    <xf numFmtId="38" fontId="0" fillId="6" borderId="12" xfId="0" applyNumberFormat="1" applyFill="1" applyBorder="1" applyAlignment="1"/>
    <xf numFmtId="38" fontId="0" fillId="6" borderId="10" xfId="0" applyNumberFormat="1" applyFill="1" applyBorder="1" applyAlignment="1"/>
    <xf numFmtId="165" fontId="5" fillId="0" borderId="0" xfId="1" applyNumberFormat="1" applyFont="1" applyBorder="1" applyAlignment="1">
      <alignment horizontal="center"/>
    </xf>
    <xf numFmtId="9" fontId="5" fillId="0" borderId="0" xfId="0" applyNumberFormat="1" applyFont="1" applyAlignment="1">
      <alignment horizontal="center"/>
    </xf>
    <xf numFmtId="3" fontId="6" fillId="0" borderId="10" xfId="1" applyNumberFormat="1" applyFont="1" applyBorder="1" applyAlignment="1">
      <alignment horizontal="right"/>
    </xf>
    <xf numFmtId="9" fontId="5" fillId="0" borderId="10" xfId="0" applyNumberFormat="1" applyFont="1" applyBorder="1" applyAlignment="1">
      <alignment horizontal="center"/>
    </xf>
    <xf numFmtId="9" fontId="6" fillId="0" borderId="10" xfId="16" applyFont="1" applyBorder="1" applyAlignment="1">
      <alignment horizontal="center"/>
    </xf>
    <xf numFmtId="0" fontId="5" fillId="0" borderId="18" xfId="0" applyFont="1" applyBorder="1" applyAlignment="1">
      <alignment horizontal="center"/>
    </xf>
    <xf numFmtId="0" fontId="6" fillId="0" borderId="21" xfId="0" applyFont="1" applyBorder="1"/>
    <xf numFmtId="3" fontId="24" fillId="2" borderId="10" xfId="1" applyNumberFormat="1" applyFont="1" applyFill="1" applyBorder="1" applyAlignment="1">
      <alignment horizontal="right"/>
    </xf>
    <xf numFmtId="0" fontId="23" fillId="2" borderId="10" xfId="0" applyFont="1" applyFill="1" applyBorder="1" applyAlignment="1">
      <alignment horizontal="center"/>
    </xf>
    <xf numFmtId="0" fontId="24" fillId="2" borderId="10" xfId="0" applyFont="1" applyFill="1" applyBorder="1" applyAlignment="1">
      <alignment horizontal="center"/>
    </xf>
    <xf numFmtId="1" fontId="6" fillId="0" borderId="10" xfId="0" applyNumberFormat="1" applyFont="1" applyBorder="1"/>
    <xf numFmtId="0" fontId="6" fillId="2" borderId="10" xfId="0" applyFont="1" applyFill="1" applyBorder="1"/>
    <xf numFmtId="3" fontId="6" fillId="2" borderId="10" xfId="0" applyNumberFormat="1" applyFont="1" applyFill="1" applyBorder="1"/>
    <xf numFmtId="3" fontId="5" fillId="2" borderId="10" xfId="0" applyNumberFormat="1" applyFont="1" applyFill="1" applyBorder="1"/>
    <xf numFmtId="3" fontId="6" fillId="0" borderId="10" xfId="0" applyNumberFormat="1" applyFont="1" applyBorder="1"/>
    <xf numFmtId="3" fontId="5" fillId="0" borderId="10" xfId="0" applyNumberFormat="1" applyFont="1" applyBorder="1"/>
    <xf numFmtId="3" fontId="6" fillId="0" borderId="10" xfId="0" applyNumberFormat="1" applyFont="1" applyFill="1" applyBorder="1"/>
    <xf numFmtId="0" fontId="6" fillId="0" borderId="10" xfId="0" applyFont="1" applyFill="1" applyBorder="1"/>
    <xf numFmtId="0" fontId="3" fillId="0" borderId="0" xfId="0" applyFont="1" applyFill="1" applyBorder="1" applyAlignment="1">
      <alignment horizontal="left" vertical="center"/>
    </xf>
    <xf numFmtId="38" fontId="0" fillId="8" borderId="10" xfId="0" applyNumberFormat="1" applyFill="1" applyBorder="1" applyAlignment="1"/>
    <xf numFmtId="3" fontId="21" fillId="2" borderId="10" xfId="1" applyNumberFormat="1" applyFont="1" applyFill="1" applyBorder="1" applyAlignment="1">
      <alignment horizontal="center"/>
    </xf>
    <xf numFmtId="3" fontId="5" fillId="0" borderId="14" xfId="1" applyNumberFormat="1" applyFont="1" applyBorder="1" applyAlignment="1">
      <alignment horizontal="right"/>
    </xf>
    <xf numFmtId="9" fontId="5" fillId="8" borderId="14" xfId="0" applyNumberFormat="1" applyFont="1" applyFill="1" applyBorder="1" applyAlignment="1">
      <alignment horizontal="center"/>
    </xf>
    <xf numFmtId="9" fontId="6" fillId="0" borderId="10" xfId="16" applyNumberFormat="1" applyFont="1" applyBorder="1" applyAlignment="1">
      <alignment horizontal="center"/>
    </xf>
    <xf numFmtId="0" fontId="26" fillId="0" borderId="0" xfId="0" applyFont="1" applyFill="1"/>
    <xf numFmtId="0" fontId="25" fillId="0" borderId="10" xfId="0" applyFont="1" applyFill="1" applyBorder="1"/>
    <xf numFmtId="3" fontId="25" fillId="0" borderId="10" xfId="0" applyNumberFormat="1" applyFont="1" applyBorder="1"/>
    <xf numFmtId="165" fontId="25" fillId="0" borderId="0" xfId="1" applyNumberFormat="1" applyFont="1" applyFill="1" applyAlignment="1">
      <alignment horizontal="right"/>
    </xf>
    <xf numFmtId="2" fontId="5" fillId="0" borderId="0" xfId="0" applyNumberFormat="1" applyFont="1" applyFill="1" applyAlignment="1">
      <alignment horizontal="right"/>
    </xf>
    <xf numFmtId="0" fontId="0" fillId="0" borderId="0" xfId="0" applyFill="1"/>
    <xf numFmtId="2" fontId="10" fillId="0" borderId="0" xfId="0" applyNumberFormat="1" applyFont="1" applyFill="1" applyAlignment="1">
      <alignment horizontal="right"/>
    </xf>
    <xf numFmtId="3" fontId="5" fillId="0" borderId="10" xfId="0" applyNumberFormat="1" applyFont="1" applyFill="1" applyBorder="1"/>
    <xf numFmtId="0" fontId="6" fillId="0" borderId="0" xfId="12"/>
    <xf numFmtId="0" fontId="5" fillId="0" borderId="10" xfId="12" applyFont="1" applyFill="1" applyBorder="1" applyAlignment="1">
      <alignment horizontal="center"/>
    </xf>
    <xf numFmtId="0" fontId="6" fillId="0" borderId="10" xfId="12" applyBorder="1"/>
    <xf numFmtId="0" fontId="6" fillId="0" borderId="10" xfId="12" applyFill="1" applyBorder="1" applyAlignment="1">
      <alignment horizontal="center"/>
    </xf>
    <xf numFmtId="0" fontId="6" fillId="0" borderId="10" xfId="12" applyBorder="1" applyAlignment="1">
      <alignment horizontal="center"/>
    </xf>
    <xf numFmtId="167" fontId="6" fillId="0" borderId="10" xfId="12" applyNumberFormat="1" applyFill="1" applyBorder="1" applyAlignment="1">
      <alignment horizontal="center"/>
    </xf>
    <xf numFmtId="9" fontId="6" fillId="0" borderId="10" xfId="12" applyNumberFormat="1" applyBorder="1" applyAlignment="1">
      <alignment horizontal="center"/>
    </xf>
    <xf numFmtId="9" fontId="6" fillId="0" borderId="10" xfId="12" applyNumberFormat="1" applyFill="1" applyBorder="1" applyAlignment="1">
      <alignment horizontal="center"/>
    </xf>
    <xf numFmtId="0" fontId="6" fillId="0" borderId="10" xfId="12" applyFont="1" applyFill="1" applyBorder="1"/>
    <xf numFmtId="9" fontId="6" fillId="0" borderId="10" xfId="12" applyNumberFormat="1" applyFont="1" applyFill="1" applyBorder="1" applyAlignment="1">
      <alignment horizontal="center"/>
    </xf>
    <xf numFmtId="0" fontId="6" fillId="0" borderId="10" xfId="12" applyFont="1" applyBorder="1"/>
    <xf numFmtId="10" fontId="0" fillId="0" borderId="10" xfId="17" applyNumberFormat="1" applyFont="1" applyBorder="1" applyAlignment="1">
      <alignment horizontal="center"/>
    </xf>
    <xf numFmtId="10" fontId="6" fillId="0" borderId="10" xfId="12" applyNumberFormat="1" applyBorder="1" applyAlignment="1">
      <alignment horizontal="center"/>
    </xf>
    <xf numFmtId="3" fontId="6" fillId="0" borderId="10" xfId="12" applyNumberFormat="1" applyFont="1" applyBorder="1" applyAlignment="1">
      <alignment horizontal="center"/>
    </xf>
    <xf numFmtId="3" fontId="6" fillId="0" borderId="10" xfId="12" applyNumberFormat="1" applyBorder="1" applyAlignment="1">
      <alignment horizontal="center"/>
    </xf>
    <xf numFmtId="2" fontId="6" fillId="0" borderId="10" xfId="12" applyNumberFormat="1" applyBorder="1" applyAlignment="1">
      <alignment horizontal="center"/>
    </xf>
    <xf numFmtId="3" fontId="6" fillId="0" borderId="10" xfId="12" applyNumberFormat="1" applyFont="1" applyFill="1" applyBorder="1" applyAlignment="1">
      <alignment horizontal="center"/>
    </xf>
    <xf numFmtId="3" fontId="6" fillId="0" borderId="10" xfId="12" applyNumberFormat="1" applyFill="1" applyBorder="1" applyAlignment="1">
      <alignment horizontal="center"/>
    </xf>
    <xf numFmtId="0" fontId="27" fillId="0" borderId="10" xfId="12" applyFont="1" applyFill="1" applyBorder="1" applyAlignment="1">
      <alignment horizontal="center"/>
    </xf>
    <xf numFmtId="0" fontId="6" fillId="0" borderId="10" xfId="12" applyFill="1" applyBorder="1"/>
    <xf numFmtId="164" fontId="6" fillId="0" borderId="10" xfId="12" applyNumberFormat="1" applyBorder="1" applyAlignment="1">
      <alignment horizontal="center"/>
    </xf>
    <xf numFmtId="164" fontId="6" fillId="0" borderId="10" xfId="12" applyNumberFormat="1" applyFill="1" applyBorder="1" applyAlignment="1">
      <alignment horizontal="center"/>
    </xf>
    <xf numFmtId="3" fontId="6" fillId="0" borderId="0" xfId="12" applyNumberFormat="1"/>
    <xf numFmtId="0" fontId="25" fillId="0" borderId="10" xfId="12" applyFont="1" applyBorder="1"/>
    <xf numFmtId="3" fontId="25" fillId="0" borderId="10" xfId="12" applyNumberFormat="1" applyFont="1" applyFill="1" applyBorder="1" applyAlignment="1">
      <alignment horizontal="center"/>
    </xf>
    <xf numFmtId="0" fontId="25" fillId="0" borderId="0" xfId="12" applyFont="1"/>
    <xf numFmtId="10" fontId="6" fillId="0" borderId="10" xfId="12" applyNumberFormat="1" applyFill="1" applyBorder="1" applyAlignment="1">
      <alignment horizontal="center"/>
    </xf>
    <xf numFmtId="17" fontId="5" fillId="0" borderId="10" xfId="12" applyNumberFormat="1" applyFont="1" applyFill="1" applyBorder="1" applyAlignment="1">
      <alignment horizontal="center" vertical="center"/>
    </xf>
    <xf numFmtId="0" fontId="5" fillId="0" borderId="10" xfId="12" applyFont="1" applyBorder="1" applyAlignment="1">
      <alignment horizontal="center" vertical="center"/>
    </xf>
    <xf numFmtId="0" fontId="5" fillId="0" borderId="10" xfId="12" applyFont="1" applyFill="1" applyBorder="1" applyAlignment="1">
      <alignment horizontal="center" vertical="center"/>
    </xf>
    <xf numFmtId="0" fontId="6" fillId="0" borderId="0" xfId="12" applyAlignment="1">
      <alignment vertical="center"/>
    </xf>
    <xf numFmtId="0" fontId="15" fillId="0" borderId="10" xfId="12" applyFont="1" applyFill="1" applyBorder="1" applyAlignment="1">
      <alignment horizontal="left"/>
    </xf>
    <xf numFmtId="0" fontId="15" fillId="0" borderId="10" xfId="12" applyFont="1" applyFill="1" applyBorder="1"/>
    <xf numFmtId="0" fontId="25" fillId="0" borderId="10" xfId="12" applyFont="1" applyFill="1" applyBorder="1"/>
    <xf numFmtId="2" fontId="6" fillId="0" borderId="10" xfId="12" applyNumberFormat="1" applyFill="1" applyBorder="1" applyAlignment="1">
      <alignment horizontal="center"/>
    </xf>
    <xf numFmtId="0" fontId="31" fillId="0" borderId="0" xfId="12" applyFont="1"/>
    <xf numFmtId="10" fontId="32" fillId="0" borderId="10" xfId="12" applyNumberFormat="1" applyFont="1" applyBorder="1" applyAlignment="1">
      <alignment horizontal="center"/>
    </xf>
    <xf numFmtId="2" fontId="25" fillId="0" borderId="10" xfId="12" applyNumberFormat="1" applyFont="1" applyFill="1" applyBorder="1" applyAlignment="1">
      <alignment horizontal="center"/>
    </xf>
    <xf numFmtId="0" fontId="5" fillId="0" borderId="0" xfId="12" applyFont="1" applyBorder="1"/>
    <xf numFmtId="0" fontId="6" fillId="0" borderId="0" xfId="12" applyBorder="1"/>
    <xf numFmtId="0" fontId="6" fillId="0" borderId="0" xfId="12" applyBorder="1" applyAlignment="1">
      <alignment horizontal="center"/>
    </xf>
    <xf numFmtId="0" fontId="6" fillId="6" borderId="9" xfId="12" applyFill="1" applyBorder="1"/>
    <xf numFmtId="0" fontId="5" fillId="6" borderId="7" xfId="12" applyFont="1" applyFill="1" applyBorder="1"/>
    <xf numFmtId="0" fontId="6" fillId="11" borderId="10" xfId="12" applyFill="1" applyBorder="1"/>
    <xf numFmtId="0" fontId="33" fillId="11" borderId="10" xfId="12" applyFont="1" applyFill="1" applyBorder="1" applyAlignment="1">
      <alignment horizontal="center"/>
    </xf>
    <xf numFmtId="0" fontId="6" fillId="11" borderId="10" xfId="12" applyFill="1" applyBorder="1" applyAlignment="1">
      <alignment horizontal="center"/>
    </xf>
    <xf numFmtId="40" fontId="6" fillId="11" borderId="10" xfId="12" applyNumberFormat="1" applyFill="1" applyBorder="1" applyAlignment="1">
      <alignment horizontal="center"/>
    </xf>
    <xf numFmtId="9" fontId="6" fillId="8" borderId="10" xfId="12" applyNumberFormat="1" applyFill="1" applyBorder="1" applyAlignment="1">
      <alignment horizontal="center"/>
    </xf>
    <xf numFmtId="0" fontId="5" fillId="9" borderId="7" xfId="12" applyFont="1" applyFill="1" applyBorder="1"/>
    <xf numFmtId="0" fontId="6" fillId="9" borderId="9" xfId="12" applyFill="1" applyBorder="1"/>
    <xf numFmtId="0" fontId="39" fillId="0" borderId="0" xfId="0" applyFont="1"/>
    <xf numFmtId="3" fontId="39" fillId="0" borderId="10" xfId="1" applyNumberFormat="1" applyFont="1" applyFill="1" applyBorder="1" applyAlignment="1">
      <alignment horizontal="right"/>
    </xf>
    <xf numFmtId="3" fontId="39" fillId="0" borderId="10" xfId="1" applyNumberFormat="1" applyFont="1" applyFill="1" applyBorder="1" applyAlignment="1">
      <alignment horizontal="center" vertical="center" wrapText="1"/>
    </xf>
    <xf numFmtId="9" fontId="9" fillId="0" borderId="0" xfId="16" applyFont="1" applyFill="1" applyBorder="1"/>
    <xf numFmtId="0" fontId="10" fillId="0" borderId="0" xfId="12" applyFont="1" applyAlignment="1" applyProtection="1">
      <alignment wrapText="1"/>
    </xf>
    <xf numFmtId="0" fontId="41" fillId="4" borderId="0" xfId="0" applyFont="1" applyFill="1" applyBorder="1" applyAlignment="1" applyProtection="1"/>
    <xf numFmtId="0" fontId="42" fillId="0" borderId="0" xfId="0" applyFont="1" applyFill="1" applyBorder="1" applyAlignment="1">
      <alignment vertical="center"/>
    </xf>
    <xf numFmtId="43" fontId="43" fillId="0" borderId="0" xfId="0" applyNumberFormat="1" applyFont="1"/>
    <xf numFmtId="0" fontId="5" fillId="17" borderId="0" xfId="12" applyFont="1" applyFill="1" applyProtection="1"/>
    <xf numFmtId="0" fontId="45" fillId="0" borderId="0" xfId="0" applyFont="1"/>
    <xf numFmtId="3" fontId="5" fillId="0" borderId="10" xfId="12" applyNumberFormat="1" applyFont="1" applyFill="1" applyBorder="1" applyProtection="1"/>
    <xf numFmtId="0" fontId="3" fillId="0" borderId="0" xfId="12" applyFont="1" applyAlignment="1">
      <alignment horizontal="left" vertical="center"/>
    </xf>
    <xf numFmtId="0" fontId="3" fillId="0" borderId="0" xfId="12" applyFont="1" applyFill="1" applyBorder="1" applyAlignment="1">
      <alignment horizontal="center" vertical="center"/>
    </xf>
    <xf numFmtId="0" fontId="3" fillId="0" borderId="0" xfId="12" applyFont="1" applyFill="1" applyBorder="1" applyAlignment="1">
      <alignment vertical="center"/>
    </xf>
    <xf numFmtId="0" fontId="2" fillId="0" borderId="0" xfId="12" applyFont="1" applyFill="1" applyBorder="1" applyAlignment="1">
      <alignment vertical="center"/>
    </xf>
    <xf numFmtId="0" fontId="5" fillId="0" borderId="0" xfId="12" applyFont="1" applyAlignment="1">
      <alignment horizontal="center"/>
    </xf>
    <xf numFmtId="3" fontId="6" fillId="0" borderId="10" xfId="12" applyNumberFormat="1" applyBorder="1"/>
    <xf numFmtId="3" fontId="6" fillId="0" borderId="10" xfId="12" applyNumberFormat="1" applyFill="1" applyBorder="1"/>
    <xf numFmtId="0" fontId="5" fillId="0" borderId="10" xfId="12" applyFont="1" applyFill="1" applyBorder="1" applyAlignment="1">
      <alignment horizontal="right"/>
    </xf>
    <xf numFmtId="0" fontId="5" fillId="0" borderId="0" xfId="12" applyFont="1"/>
    <xf numFmtId="0" fontId="5" fillId="0" borderId="10" xfId="12" applyFont="1" applyFill="1" applyBorder="1"/>
    <xf numFmtId="3" fontId="5" fillId="0" borderId="10" xfId="12" applyNumberFormat="1" applyFont="1" applyFill="1" applyBorder="1"/>
    <xf numFmtId="0" fontId="5" fillId="0" borderId="0" xfId="12" applyFont="1" applyFill="1"/>
    <xf numFmtId="0" fontId="40" fillId="0" borderId="0" xfId="12" applyFont="1"/>
    <xf numFmtId="0" fontId="1" fillId="0" borderId="0" xfId="0" applyFont="1"/>
    <xf numFmtId="0" fontId="6" fillId="0" borderId="0" xfId="12" applyFont="1" applyFill="1" applyProtection="1"/>
    <xf numFmtId="0" fontId="49" fillId="17" borderId="0" xfId="12" applyFont="1" applyFill="1" applyProtection="1"/>
    <xf numFmtId="0" fontId="1" fillId="0" borderId="0" xfId="12" applyFont="1" applyProtection="1"/>
    <xf numFmtId="2" fontId="1" fillId="17" borderId="0" xfId="12" applyNumberFormat="1" applyFont="1" applyFill="1" applyProtection="1"/>
    <xf numFmtId="0" fontId="1" fillId="17" borderId="0" xfId="12" applyFont="1" applyFill="1" applyProtection="1"/>
    <xf numFmtId="0" fontId="1" fillId="0" borderId="0" xfId="12" applyFont="1" applyFill="1" applyProtection="1"/>
    <xf numFmtId="3" fontId="1" fillId="0" borderId="0" xfId="0" applyNumberFormat="1" applyFont="1"/>
    <xf numFmtId="2" fontId="1" fillId="0" borderId="0" xfId="12" applyNumberFormat="1" applyFont="1" applyProtection="1"/>
    <xf numFmtId="0" fontId="1" fillId="19" borderId="7" xfId="0" applyFont="1" applyFill="1" applyBorder="1"/>
    <xf numFmtId="0" fontId="1" fillId="19" borderId="8" xfId="0" applyFont="1" applyFill="1" applyBorder="1"/>
    <xf numFmtId="3" fontId="1" fillId="19" borderId="8" xfId="0" applyNumberFormat="1" applyFont="1" applyFill="1" applyBorder="1"/>
    <xf numFmtId="3" fontId="5" fillId="19" borderId="8" xfId="0" applyNumberFormat="1" applyFont="1" applyFill="1" applyBorder="1"/>
    <xf numFmtId="3" fontId="5" fillId="19" borderId="9" xfId="0" applyNumberFormat="1" applyFont="1" applyFill="1" applyBorder="1"/>
    <xf numFmtId="3" fontId="5" fillId="20" borderId="10" xfId="12" applyNumberFormat="1" applyFont="1" applyFill="1" applyBorder="1" applyProtection="1"/>
    <xf numFmtId="0" fontId="10" fillId="0" borderId="0" xfId="12" applyFont="1" applyFill="1" applyAlignment="1" applyProtection="1">
      <alignment wrapText="1"/>
    </xf>
    <xf numFmtId="0" fontId="5" fillId="0" borderId="0" xfId="12" applyFont="1" applyFill="1" applyProtection="1"/>
    <xf numFmtId="3" fontId="46" fillId="0" borderId="10" xfId="12" applyNumberFormat="1" applyFont="1" applyFill="1" applyBorder="1" applyProtection="1"/>
    <xf numFmtId="0" fontId="14" fillId="0" borderId="10" xfId="0" applyFont="1" applyFill="1" applyBorder="1" applyAlignment="1" applyProtection="1">
      <alignment horizontal="left"/>
    </xf>
    <xf numFmtId="0" fontId="14" fillId="0" borderId="12" xfId="0" applyFont="1" applyFill="1" applyBorder="1" applyAlignment="1" applyProtection="1">
      <alignment horizontal="left"/>
    </xf>
    <xf numFmtId="3" fontId="5" fillId="20" borderId="22" xfId="12" applyNumberFormat="1" applyFont="1" applyFill="1" applyBorder="1" applyProtection="1"/>
    <xf numFmtId="3" fontId="14" fillId="0" borderId="6" xfId="13" applyNumberFormat="1" applyFont="1" applyFill="1" applyBorder="1" applyAlignment="1" applyProtection="1">
      <alignment horizontal="right"/>
      <protection locked="0"/>
    </xf>
    <xf numFmtId="3" fontId="35" fillId="0" borderId="6" xfId="13" applyNumberFormat="1" applyFont="1" applyFill="1" applyBorder="1" applyAlignment="1" applyProtection="1">
      <alignment horizontal="right"/>
      <protection locked="0"/>
    </xf>
    <xf numFmtId="3" fontId="35" fillId="0" borderId="12" xfId="12" applyNumberFormat="1" applyFont="1" applyFill="1" applyBorder="1" applyProtection="1"/>
    <xf numFmtId="3" fontId="35" fillId="0" borderId="10" xfId="12" applyNumberFormat="1" applyFont="1" applyFill="1" applyBorder="1" applyProtection="1"/>
    <xf numFmtId="0" fontId="14" fillId="0" borderId="28" xfId="0" applyFont="1" applyFill="1" applyBorder="1" applyAlignment="1" applyProtection="1">
      <alignment horizontal="left"/>
    </xf>
    <xf numFmtId="3" fontId="14" fillId="0" borderId="29" xfId="13" applyNumberFormat="1" applyFont="1" applyFill="1" applyBorder="1" applyAlignment="1" applyProtection="1">
      <alignment horizontal="right"/>
      <protection locked="0"/>
    </xf>
    <xf numFmtId="3" fontId="35" fillId="0" borderId="29" xfId="13" applyNumberFormat="1" applyFont="1" applyFill="1" applyBorder="1" applyAlignment="1" applyProtection="1">
      <alignment horizontal="right"/>
      <protection locked="0"/>
    </xf>
    <xf numFmtId="3" fontId="35" fillId="0" borderId="28" xfId="12" applyNumberFormat="1" applyFont="1" applyFill="1" applyBorder="1" applyProtection="1"/>
    <xf numFmtId="2" fontId="1" fillId="0" borderId="0" xfId="12" applyNumberFormat="1" applyFont="1" applyFill="1" applyProtection="1"/>
    <xf numFmtId="2" fontId="6" fillId="0" borderId="0" xfId="12" applyNumberFormat="1" applyFill="1" applyProtection="1"/>
    <xf numFmtId="0" fontId="6" fillId="0" borderId="0" xfId="12" applyFill="1" applyProtection="1"/>
    <xf numFmtId="1" fontId="1" fillId="0" borderId="25" xfId="13" applyNumberFormat="1" applyFont="1" applyFill="1" applyBorder="1" applyAlignment="1" applyProtection="1">
      <alignment horizontal="right"/>
      <protection locked="0"/>
    </xf>
    <xf numFmtId="0" fontId="3" fillId="0" borderId="0" xfId="0" applyFont="1" applyBorder="1" applyAlignment="1">
      <alignment horizontal="left" vertical="center"/>
    </xf>
    <xf numFmtId="0" fontId="10" fillId="0" borderId="0" xfId="19" applyFont="1" applyAlignment="1" applyProtection="1">
      <alignment wrapText="1"/>
    </xf>
    <xf numFmtId="0" fontId="5" fillId="4" borderId="0" xfId="19" applyFont="1" applyFill="1" applyBorder="1" applyAlignment="1" applyProtection="1"/>
    <xf numFmtId="0" fontId="1" fillId="0" borderId="0" xfId="19" applyProtection="1"/>
    <xf numFmtId="2" fontId="1" fillId="0" borderId="0" xfId="19" applyNumberFormat="1" applyProtection="1"/>
    <xf numFmtId="0" fontId="5" fillId="0" borderId="0" xfId="19" applyFont="1" applyProtection="1"/>
    <xf numFmtId="0" fontId="1" fillId="0" borderId="0" xfId="19" applyFill="1" applyProtection="1"/>
    <xf numFmtId="2" fontId="1" fillId="0" borderId="0" xfId="19" applyNumberFormat="1" applyFill="1" applyProtection="1"/>
    <xf numFmtId="3" fontId="5" fillId="19" borderId="0" xfId="19" applyNumberFormat="1" applyFont="1" applyFill="1" applyBorder="1" applyProtection="1"/>
    <xf numFmtId="0" fontId="1" fillId="0" borderId="10" xfId="0" applyFont="1" applyBorder="1" applyAlignment="1" applyProtection="1">
      <alignment horizontal="left"/>
    </xf>
    <xf numFmtId="0" fontId="1" fillId="0" borderId="10" xfId="0" applyFont="1" applyFill="1" applyBorder="1" applyAlignment="1" applyProtection="1">
      <alignment horizontal="left"/>
    </xf>
    <xf numFmtId="0" fontId="1" fillId="19" borderId="0" xfId="0" applyFont="1" applyFill="1" applyBorder="1" applyAlignment="1" applyProtection="1">
      <alignment horizontal="left"/>
    </xf>
    <xf numFmtId="0" fontId="36" fillId="0" borderId="0" xfId="0" applyFont="1"/>
    <xf numFmtId="3" fontId="1" fillId="0" borderId="10" xfId="20" applyNumberFormat="1" applyFont="1" applyFill="1" applyBorder="1" applyAlignment="1" applyProtection="1">
      <alignment horizontal="right"/>
      <protection locked="0"/>
    </xf>
    <xf numFmtId="1" fontId="1" fillId="19" borderId="0" xfId="20" applyNumberFormat="1" applyFont="1" applyFill="1" applyBorder="1" applyAlignment="1" applyProtection="1">
      <alignment horizontal="right"/>
      <protection locked="0"/>
    </xf>
    <xf numFmtId="0" fontId="1" fillId="0" borderId="10" xfId="12" applyFont="1" applyFill="1" applyBorder="1"/>
    <xf numFmtId="0" fontId="1" fillId="0" borderId="10" xfId="0" applyFont="1" applyFill="1" applyBorder="1"/>
    <xf numFmtId="2" fontId="1" fillId="0" borderId="10" xfId="0" applyNumberFormat="1" applyFont="1" applyFill="1" applyBorder="1"/>
    <xf numFmtId="166" fontId="6" fillId="0" borderId="10" xfId="0" applyNumberFormat="1" applyFont="1" applyFill="1" applyBorder="1"/>
    <xf numFmtId="166" fontId="5" fillId="0" borderId="10" xfId="0" applyNumberFormat="1" applyFont="1" applyBorder="1"/>
    <xf numFmtId="3" fontId="4" fillId="0" borderId="0" xfId="0" applyNumberFormat="1" applyFont="1" applyFill="1"/>
    <xf numFmtId="2" fontId="5" fillId="0" borderId="10" xfId="0" applyNumberFormat="1" applyFont="1" applyFill="1" applyBorder="1"/>
    <xf numFmtId="0" fontId="5" fillId="0" borderId="12" xfId="0" applyFont="1" applyFill="1" applyBorder="1" applyAlignment="1">
      <alignment horizontal="center"/>
    </xf>
    <xf numFmtId="166" fontId="5" fillId="0" borderId="10" xfId="0" applyNumberFormat="1" applyFont="1" applyFill="1" applyBorder="1"/>
    <xf numFmtId="17" fontId="18" fillId="5" borderId="14" xfId="19" quotePrefix="1" applyNumberFormat="1" applyFont="1" applyFill="1" applyBorder="1" applyAlignment="1" applyProtection="1">
      <alignment horizontal="center" wrapText="1"/>
    </xf>
    <xf numFmtId="17" fontId="18" fillId="5" borderId="14" xfId="19" applyNumberFormat="1" applyFont="1" applyFill="1" applyBorder="1" applyAlignment="1" applyProtection="1">
      <alignment horizontal="center" wrapText="1"/>
    </xf>
    <xf numFmtId="3" fontId="5" fillId="15" borderId="10" xfId="19" applyNumberFormat="1" applyFont="1" applyFill="1" applyBorder="1" applyProtection="1"/>
    <xf numFmtId="3" fontId="5" fillId="0" borderId="10" xfId="19" applyNumberFormat="1" applyFont="1" applyFill="1" applyBorder="1" applyProtection="1"/>
    <xf numFmtId="3" fontId="1" fillId="0" borderId="10" xfId="19" applyNumberFormat="1" applyFont="1" applyFill="1" applyBorder="1" applyProtection="1"/>
    <xf numFmtId="0" fontId="1" fillId="19" borderId="2" xfId="19" applyFill="1" applyBorder="1" applyProtection="1"/>
    <xf numFmtId="3" fontId="5" fillId="19" borderId="16" xfId="19" applyNumberFormat="1" applyFont="1" applyFill="1" applyBorder="1" applyProtection="1"/>
    <xf numFmtId="0" fontId="1" fillId="19" borderId="5" xfId="19" applyFill="1" applyBorder="1" applyProtection="1"/>
    <xf numFmtId="0" fontId="36" fillId="19" borderId="1" xfId="0" applyFont="1" applyFill="1" applyBorder="1" applyAlignment="1" applyProtection="1">
      <alignment horizontal="left"/>
    </xf>
    <xf numFmtId="1" fontId="1" fillId="19" borderId="1" xfId="20" applyNumberFormat="1" applyFill="1" applyBorder="1" applyAlignment="1" applyProtection="1">
      <alignment horizontal="right"/>
      <protection locked="0"/>
    </xf>
    <xf numFmtId="3" fontId="5" fillId="19" borderId="1" xfId="19" applyNumberFormat="1" applyFont="1" applyFill="1" applyBorder="1" applyProtection="1"/>
    <xf numFmtId="3" fontId="5" fillId="19" borderId="6" xfId="19" applyNumberFormat="1" applyFont="1" applyFill="1" applyBorder="1" applyProtection="1"/>
    <xf numFmtId="3" fontId="5" fillId="0" borderId="10" xfId="1" applyNumberFormat="1" applyFont="1" applyFill="1" applyBorder="1" applyAlignment="1">
      <alignment horizontal="right"/>
    </xf>
    <xf numFmtId="0" fontId="1" fillId="17" borderId="22" xfId="0" applyFont="1" applyFill="1" applyBorder="1" applyAlignment="1" applyProtection="1">
      <alignment horizontal="left"/>
    </xf>
    <xf numFmtId="0" fontId="1" fillId="17" borderId="25" xfId="0" applyFont="1" applyFill="1" applyBorder="1" applyAlignment="1" applyProtection="1">
      <alignment horizontal="left"/>
    </xf>
    <xf numFmtId="3" fontId="14" fillId="17" borderId="10" xfId="12" applyNumberFormat="1" applyFont="1" applyFill="1" applyBorder="1" applyProtection="1"/>
    <xf numFmtId="3" fontId="6" fillId="0" borderId="10" xfId="1" applyNumberFormat="1" applyFont="1" applyFill="1" applyBorder="1" applyAlignment="1">
      <alignment horizontal="right"/>
    </xf>
    <xf numFmtId="0" fontId="1" fillId="0" borderId="10" xfId="12" applyFont="1" applyBorder="1"/>
    <xf numFmtId="0" fontId="1" fillId="0" borderId="21" xfId="0" applyFont="1" applyBorder="1"/>
    <xf numFmtId="9" fontId="6" fillId="0" borderId="10" xfId="16" applyFont="1" applyBorder="1" applyAlignment="1">
      <alignment horizontal="right"/>
    </xf>
    <xf numFmtId="0" fontId="36" fillId="0" borderId="0" xfId="0" applyFont="1" applyBorder="1"/>
    <xf numFmtId="3" fontId="36" fillId="0" borderId="0" xfId="0" applyNumberFormat="1" applyFont="1" applyBorder="1"/>
    <xf numFmtId="3" fontId="28" fillId="0" borderId="0" xfId="0" applyNumberFormat="1" applyFont="1" applyBorder="1"/>
    <xf numFmtId="3" fontId="52" fillId="0" borderId="0" xfId="0" applyNumberFormat="1" applyFont="1" applyBorder="1"/>
    <xf numFmtId="0" fontId="44" fillId="0" borderId="0" xfId="0" applyFont="1" applyFill="1" applyBorder="1" applyAlignment="1" applyProtection="1">
      <alignment horizontal="left"/>
    </xf>
    <xf numFmtId="0" fontId="28" fillId="0" borderId="0" xfId="0" applyFont="1"/>
    <xf numFmtId="0" fontId="52" fillId="0" borderId="0" xfId="0" applyFont="1"/>
    <xf numFmtId="9" fontId="6" fillId="0" borderId="0" xfId="12" applyNumberFormat="1"/>
    <xf numFmtId="0" fontId="54" fillId="0" borderId="0" xfId="0" applyFont="1"/>
    <xf numFmtId="1" fontId="1" fillId="17" borderId="25" xfId="13" applyNumberFormat="1" applyFont="1" applyFill="1" applyBorder="1" applyAlignment="1" applyProtection="1">
      <alignment horizontal="right"/>
      <protection locked="0"/>
    </xf>
    <xf numFmtId="2" fontId="50" fillId="20" borderId="17" xfId="12" applyNumberFormat="1" applyFont="1" applyFill="1" applyBorder="1" applyAlignment="1" applyProtection="1">
      <alignment horizontal="left" vertical="center"/>
    </xf>
    <xf numFmtId="0" fontId="1" fillId="0" borderId="10" xfId="12" applyFont="1" applyFill="1" applyBorder="1" applyAlignment="1">
      <alignment horizontal="left"/>
    </xf>
    <xf numFmtId="3" fontId="5" fillId="15" borderId="0" xfId="13" applyNumberFormat="1" applyFont="1" applyFill="1" applyBorder="1" applyAlignment="1" applyProtection="1">
      <alignment horizontal="right"/>
      <protection locked="0"/>
    </xf>
    <xf numFmtId="3" fontId="14" fillId="0" borderId="10" xfId="12" applyNumberFormat="1" applyFont="1" applyFill="1" applyBorder="1" applyProtection="1"/>
    <xf numFmtId="0" fontId="1" fillId="0" borderId="10" xfId="12" applyFont="1" applyBorder="1" applyAlignment="1">
      <alignment horizontal="left"/>
    </xf>
    <xf numFmtId="9" fontId="5" fillId="0" borderId="10" xfId="0" applyNumberFormat="1" applyFont="1" applyFill="1" applyBorder="1" applyAlignment="1">
      <alignment horizontal="center"/>
    </xf>
    <xf numFmtId="169" fontId="6" fillId="0" borderId="10" xfId="12" applyNumberFormat="1" applyFill="1" applyBorder="1" applyAlignment="1">
      <alignment horizontal="center"/>
    </xf>
    <xf numFmtId="0" fontId="1" fillId="0" borderId="0" xfId="20"/>
    <xf numFmtId="3" fontId="1" fillId="0" borderId="10" xfId="20" applyNumberFormat="1" applyFont="1" applyFill="1" applyBorder="1" applyProtection="1"/>
    <xf numFmtId="3" fontId="1" fillId="0" borderId="22" xfId="20" applyNumberFormat="1" applyFont="1" applyFill="1" applyBorder="1" applyProtection="1"/>
    <xf numFmtId="0" fontId="36" fillId="0" borderId="9" xfId="0" applyFont="1" applyFill="1" applyBorder="1" applyAlignment="1" applyProtection="1">
      <alignment horizontal="left" wrapText="1"/>
    </xf>
    <xf numFmtId="0" fontId="36" fillId="0" borderId="25" xfId="0" applyFont="1" applyFill="1" applyBorder="1" applyAlignment="1" applyProtection="1">
      <alignment horizontal="left" wrapText="1"/>
    </xf>
    <xf numFmtId="0" fontId="1" fillId="19" borderId="3" xfId="0" applyFont="1" applyFill="1" applyBorder="1"/>
    <xf numFmtId="0" fontId="1" fillId="19" borderId="4" xfId="0" applyFont="1" applyFill="1" applyBorder="1"/>
    <xf numFmtId="3" fontId="1" fillId="19" borderId="4" xfId="0" applyNumberFormat="1" applyFont="1" applyFill="1" applyBorder="1"/>
    <xf numFmtId="3" fontId="5" fillId="19" borderId="15" xfId="0" applyNumberFormat="1" applyFont="1" applyFill="1" applyBorder="1"/>
    <xf numFmtId="0" fontId="28" fillId="21" borderId="9" xfId="0" applyFont="1" applyFill="1" applyBorder="1" applyAlignment="1" applyProtection="1">
      <alignment horizontal="left" wrapText="1"/>
    </xf>
    <xf numFmtId="3" fontId="5" fillId="0" borderId="20" xfId="20" applyNumberFormat="1" applyFont="1" applyFill="1" applyBorder="1" applyProtection="1"/>
    <xf numFmtId="3" fontId="5" fillId="20" borderId="14" xfId="12" applyNumberFormat="1" applyFont="1" applyFill="1" applyBorder="1" applyProtection="1"/>
    <xf numFmtId="3" fontId="14" fillId="0" borderId="12" xfId="12" applyNumberFormat="1" applyFont="1" applyFill="1" applyBorder="1" applyProtection="1"/>
    <xf numFmtId="3" fontId="14" fillId="17" borderId="12" xfId="12" applyNumberFormat="1" applyFont="1" applyFill="1" applyBorder="1" applyProtection="1"/>
    <xf numFmtId="0" fontId="1" fillId="12" borderId="10" xfId="12" applyFont="1" applyFill="1" applyBorder="1" applyAlignment="1">
      <alignment vertical="center" wrapText="1"/>
    </xf>
    <xf numFmtId="4" fontId="40" fillId="18" borderId="10" xfId="12" applyNumberFormat="1" applyFont="1" applyFill="1" applyBorder="1"/>
    <xf numFmtId="3" fontId="5" fillId="24" borderId="10" xfId="12" applyNumberFormat="1" applyFont="1" applyFill="1" applyBorder="1"/>
    <xf numFmtId="0" fontId="5" fillId="23" borderId="7" xfId="12" applyFont="1" applyFill="1" applyBorder="1" applyAlignment="1">
      <alignment horizontal="center"/>
    </xf>
    <xf numFmtId="0" fontId="5" fillId="23" borderId="10" xfId="12" applyFont="1" applyFill="1" applyBorder="1" applyAlignment="1">
      <alignment horizontal="center"/>
    </xf>
    <xf numFmtId="4" fontId="48" fillId="12" borderId="10" xfId="12" applyNumberFormat="1" applyFont="1" applyFill="1" applyBorder="1"/>
    <xf numFmtId="0" fontId="48" fillId="0" borderId="10" xfId="12" applyFont="1" applyFill="1" applyBorder="1"/>
    <xf numFmtId="4" fontId="48" fillId="0" borderId="10" xfId="12" applyNumberFormat="1" applyFont="1" applyBorder="1"/>
    <xf numFmtId="3" fontId="48" fillId="0" borderId="10" xfId="12" applyNumberFormat="1" applyFont="1" applyBorder="1"/>
    <xf numFmtId="0" fontId="5" fillId="24" borderId="10" xfId="12" applyFont="1" applyFill="1" applyBorder="1" applyAlignment="1">
      <alignment horizontal="center"/>
    </xf>
    <xf numFmtId="4" fontId="48" fillId="0" borderId="10" xfId="12" applyNumberFormat="1" applyFont="1" applyFill="1" applyBorder="1"/>
    <xf numFmtId="10" fontId="48" fillId="0" borderId="10" xfId="17" applyNumberFormat="1" applyFont="1" applyFill="1" applyBorder="1"/>
    <xf numFmtId="4" fontId="5" fillId="24" borderId="10" xfId="12" applyNumberFormat="1" applyFont="1" applyFill="1" applyBorder="1"/>
    <xf numFmtId="0" fontId="5" fillId="24" borderId="10" xfId="12" applyFont="1" applyFill="1" applyBorder="1"/>
    <xf numFmtId="3" fontId="5" fillId="23" borderId="10" xfId="12" applyNumberFormat="1" applyFont="1" applyFill="1" applyBorder="1"/>
    <xf numFmtId="4" fontId="5" fillId="23" borderId="10" xfId="12" applyNumberFormat="1" applyFont="1" applyFill="1" applyBorder="1"/>
    <xf numFmtId="3" fontId="5" fillId="0" borderId="0" xfId="12" applyNumberFormat="1" applyFont="1"/>
    <xf numFmtId="1" fontId="1" fillId="26" borderId="29" xfId="0" applyNumberFormat="1" applyFont="1" applyFill="1" applyBorder="1" applyAlignment="1" applyProtection="1">
      <alignment horizontal="right"/>
      <protection locked="0"/>
    </xf>
    <xf numFmtId="1" fontId="5" fillId="26" borderId="32" xfId="0" applyNumberFormat="1" applyFont="1" applyFill="1" applyBorder="1" applyAlignment="1" applyProtection="1">
      <alignment horizontal="right"/>
      <protection locked="0"/>
    </xf>
    <xf numFmtId="0" fontId="5" fillId="26" borderId="28" xfId="0" applyFont="1" applyFill="1" applyBorder="1" applyAlignment="1" applyProtection="1">
      <alignment horizontal="left"/>
    </xf>
    <xf numFmtId="0" fontId="5" fillId="26" borderId="22" xfId="0" applyFont="1" applyFill="1" applyBorder="1" applyAlignment="1" applyProtection="1">
      <alignment horizontal="left"/>
    </xf>
    <xf numFmtId="3" fontId="5" fillId="26" borderId="27" xfId="13" applyNumberFormat="1" applyFont="1" applyFill="1" applyBorder="1" applyAlignment="1" applyProtection="1">
      <alignment horizontal="right"/>
      <protection locked="0"/>
    </xf>
    <xf numFmtId="0" fontId="28" fillId="26" borderId="10" xfId="0" applyFont="1" applyFill="1" applyBorder="1" applyAlignment="1" applyProtection="1">
      <alignment horizontal="left"/>
    </xf>
    <xf numFmtId="3" fontId="36" fillId="26" borderId="6" xfId="13" applyNumberFormat="1" applyFont="1" applyFill="1" applyBorder="1" applyAlignment="1" applyProtection="1">
      <alignment horizontal="right"/>
      <protection locked="0"/>
    </xf>
    <xf numFmtId="3" fontId="28" fillId="26" borderId="6" xfId="13" applyNumberFormat="1" applyFont="1" applyFill="1" applyBorder="1" applyAlignment="1" applyProtection="1">
      <alignment horizontal="right"/>
      <protection locked="0"/>
    </xf>
    <xf numFmtId="1" fontId="1" fillId="26" borderId="29" xfId="13" applyNumberFormat="1" applyFont="1" applyFill="1" applyBorder="1" applyAlignment="1" applyProtection="1">
      <alignment horizontal="right"/>
      <protection locked="0"/>
    </xf>
    <xf numFmtId="3" fontId="1" fillId="26" borderId="28" xfId="12" applyNumberFormat="1" applyFont="1" applyFill="1" applyBorder="1" applyProtection="1"/>
    <xf numFmtId="0" fontId="5" fillId="25" borderId="28" xfId="0" applyFont="1" applyFill="1" applyBorder="1" applyAlignment="1" applyProtection="1">
      <alignment horizontal="left"/>
    </xf>
    <xf numFmtId="3" fontId="28" fillId="25" borderId="10" xfId="13" applyNumberFormat="1" applyFont="1" applyFill="1" applyBorder="1" applyAlignment="1" applyProtection="1">
      <alignment horizontal="right"/>
      <protection locked="0"/>
    </xf>
    <xf numFmtId="0" fontId="55" fillId="0" borderId="0" xfId="0" applyFont="1"/>
    <xf numFmtId="0" fontId="1" fillId="13" borderId="0" xfId="20" applyFont="1" applyFill="1"/>
    <xf numFmtId="0" fontId="1" fillId="13" borderId="0" xfId="12" applyFont="1" applyFill="1"/>
    <xf numFmtId="40" fontId="0" fillId="6" borderId="12" xfId="0" applyNumberFormat="1" applyFill="1" applyBorder="1" applyAlignment="1"/>
    <xf numFmtId="38" fontId="0" fillId="12" borderId="12" xfId="0" applyNumberFormat="1" applyFill="1" applyBorder="1" applyAlignment="1"/>
    <xf numFmtId="0" fontId="1" fillId="0" borderId="10" xfId="0" applyFont="1" applyBorder="1" applyAlignment="1">
      <alignment horizontal="left"/>
    </xf>
    <xf numFmtId="38" fontId="0" fillId="8" borderId="12" xfId="0" applyNumberFormat="1" applyFill="1" applyBorder="1" applyAlignment="1"/>
    <xf numFmtId="38" fontId="0" fillId="0" borderId="10" xfId="0" applyNumberFormat="1" applyFill="1" applyBorder="1" applyAlignment="1"/>
    <xf numFmtId="40" fontId="0" fillId="0" borderId="12" xfId="0" applyNumberFormat="1" applyFill="1" applyBorder="1" applyAlignment="1"/>
    <xf numFmtId="38" fontId="0" fillId="0" borderId="12" xfId="0" applyNumberFormat="1" applyFill="1" applyBorder="1" applyAlignment="1"/>
    <xf numFmtId="0" fontId="3" fillId="27" borderId="10" xfId="0" applyFont="1" applyFill="1" applyBorder="1" applyAlignment="1">
      <alignment horizontal="center" vertical="center"/>
    </xf>
    <xf numFmtId="0" fontId="1" fillId="15" borderId="10" xfId="12" applyFont="1" applyFill="1" applyBorder="1" applyAlignment="1">
      <alignment horizontal="left"/>
    </xf>
    <xf numFmtId="0" fontId="5" fillId="0" borderId="17" xfId="0" applyFont="1" applyFill="1" applyBorder="1" applyAlignment="1">
      <alignment horizontal="center" wrapText="1"/>
    </xf>
    <xf numFmtId="0" fontId="1" fillId="29" borderId="10" xfId="12" applyFont="1" applyFill="1" applyBorder="1" applyAlignment="1">
      <alignment horizontal="left"/>
    </xf>
    <xf numFmtId="0" fontId="53" fillId="29" borderId="10" xfId="0" applyFont="1" applyFill="1" applyBorder="1" applyAlignment="1">
      <alignment horizontal="center" vertical="center" wrapText="1"/>
    </xf>
    <xf numFmtId="0" fontId="55" fillId="15" borderId="10" xfId="0" applyFont="1" applyFill="1" applyBorder="1" applyAlignment="1">
      <alignment horizontal="center" vertical="center" wrapText="1"/>
    </xf>
    <xf numFmtId="0" fontId="47" fillId="17" borderId="9" xfId="0" applyFont="1" applyFill="1" applyBorder="1" applyAlignment="1" applyProtection="1">
      <alignment horizontal="left"/>
    </xf>
    <xf numFmtId="3" fontId="47" fillId="17" borderId="6" xfId="13" applyNumberFormat="1" applyFont="1" applyFill="1" applyBorder="1" applyAlignment="1" applyProtection="1">
      <alignment horizontal="right"/>
      <protection locked="0"/>
    </xf>
    <xf numFmtId="168" fontId="47" fillId="17" borderId="6" xfId="13" applyNumberFormat="1" applyFont="1" applyFill="1" applyBorder="1" applyAlignment="1" applyProtection="1">
      <alignment horizontal="right"/>
      <protection locked="0"/>
    </xf>
    <xf numFmtId="1" fontId="5" fillId="0" borderId="25" xfId="20" applyNumberFormat="1" applyFont="1" applyFill="1" applyBorder="1" applyAlignment="1" applyProtection="1">
      <alignment horizontal="right"/>
    </xf>
    <xf numFmtId="3" fontId="5" fillId="26" borderId="27" xfId="13" applyNumberFormat="1" applyFont="1" applyFill="1" applyBorder="1" applyAlignment="1" applyProtection="1">
      <alignment horizontal="right"/>
    </xf>
    <xf numFmtId="1" fontId="1" fillId="26" borderId="29" xfId="0" applyNumberFormat="1" applyFont="1" applyFill="1" applyBorder="1" applyAlignment="1" applyProtection="1">
      <alignment horizontal="right"/>
    </xf>
    <xf numFmtId="168" fontId="47" fillId="17" borderId="10" xfId="13" applyNumberFormat="1" applyFont="1" applyFill="1" applyBorder="1" applyAlignment="1" applyProtection="1">
      <alignment horizontal="right"/>
      <protection locked="0"/>
    </xf>
    <xf numFmtId="1" fontId="5" fillId="0" borderId="34" xfId="20" applyNumberFormat="1" applyFont="1" applyFill="1" applyBorder="1" applyAlignment="1" applyProtection="1">
      <alignment horizontal="right"/>
    </xf>
    <xf numFmtId="0" fontId="1" fillId="29" borderId="10" xfId="0" applyFont="1" applyFill="1" applyBorder="1" applyAlignment="1">
      <alignment horizontal="left"/>
    </xf>
    <xf numFmtId="1" fontId="5" fillId="26" borderId="32" xfId="0" applyNumberFormat="1" applyFont="1" applyFill="1" applyBorder="1" applyAlignment="1" applyProtection="1">
      <alignment horizontal="right"/>
    </xf>
    <xf numFmtId="3" fontId="14" fillId="0" borderId="6" xfId="13" applyNumberFormat="1" applyFont="1" applyFill="1" applyBorder="1" applyAlignment="1" applyProtection="1">
      <alignment horizontal="right"/>
    </xf>
    <xf numFmtId="3" fontId="14" fillId="0" borderId="29" xfId="13" applyNumberFormat="1" applyFont="1" applyFill="1" applyBorder="1" applyAlignment="1" applyProtection="1">
      <alignment horizontal="right"/>
    </xf>
    <xf numFmtId="3" fontId="36" fillId="26" borderId="6" xfId="13" applyNumberFormat="1" applyFont="1" applyFill="1" applyBorder="1" applyAlignment="1" applyProtection="1">
      <alignment horizontal="right"/>
    </xf>
    <xf numFmtId="3" fontId="35" fillId="0" borderId="19" xfId="13" applyNumberFormat="1" applyFont="1" applyFill="1" applyBorder="1" applyAlignment="1" applyProtection="1">
      <alignment horizontal="right"/>
      <protection locked="0"/>
    </xf>
    <xf numFmtId="3" fontId="35" fillId="0" borderId="19" xfId="13" applyNumberFormat="1" applyFont="1" applyFill="1" applyBorder="1" applyAlignment="1" applyProtection="1">
      <alignment horizontal="right"/>
    </xf>
    <xf numFmtId="3" fontId="5" fillId="26" borderId="37" xfId="13" applyNumberFormat="1" applyFont="1" applyFill="1" applyBorder="1" applyAlignment="1" applyProtection="1">
      <alignment horizontal="right"/>
    </xf>
    <xf numFmtId="3" fontId="35" fillId="0" borderId="32" xfId="13" applyNumberFormat="1" applyFont="1" applyFill="1" applyBorder="1" applyAlignment="1" applyProtection="1">
      <alignment horizontal="right"/>
    </xf>
    <xf numFmtId="3" fontId="28" fillId="26" borderId="19" xfId="13" applyNumberFormat="1" applyFont="1" applyFill="1" applyBorder="1" applyAlignment="1" applyProtection="1">
      <alignment horizontal="right"/>
    </xf>
    <xf numFmtId="1" fontId="1" fillId="26" borderId="32" xfId="0" applyNumberFormat="1" applyFont="1" applyFill="1" applyBorder="1" applyAlignment="1" applyProtection="1">
      <alignment horizontal="right"/>
    </xf>
    <xf numFmtId="1" fontId="1" fillId="0" borderId="25" xfId="20" applyNumberFormat="1" applyFont="1" applyFill="1" applyBorder="1" applyAlignment="1" applyProtection="1">
      <alignment horizontal="right"/>
    </xf>
    <xf numFmtId="3" fontId="35" fillId="0" borderId="6" xfId="13" applyNumberFormat="1" applyFont="1" applyFill="1" applyBorder="1" applyAlignment="1" applyProtection="1">
      <alignment horizontal="right"/>
    </xf>
    <xf numFmtId="3" fontId="35" fillId="0" borderId="29" xfId="13" applyNumberFormat="1" applyFont="1" applyFill="1" applyBorder="1" applyAlignment="1" applyProtection="1">
      <alignment horizontal="right"/>
    </xf>
    <xf numFmtId="3" fontId="47" fillId="0" borderId="6" xfId="13" applyNumberFormat="1" applyFont="1" applyFill="1" applyBorder="1" applyAlignment="1" applyProtection="1">
      <alignment horizontal="right"/>
      <protection locked="0"/>
    </xf>
    <xf numFmtId="168" fontId="47" fillId="0" borderId="6" xfId="13" applyNumberFormat="1" applyFont="1" applyFill="1" applyBorder="1" applyAlignment="1" applyProtection="1">
      <alignment horizontal="right"/>
      <protection locked="0"/>
    </xf>
    <xf numFmtId="1" fontId="5" fillId="0" borderId="9" xfId="20" applyNumberFormat="1" applyFont="1" applyFill="1" applyBorder="1" applyAlignment="1" applyProtection="1">
      <alignment horizontal="right"/>
    </xf>
    <xf numFmtId="1" fontId="1" fillId="17" borderId="15" xfId="20" applyNumberFormat="1" applyFont="1" applyFill="1" applyBorder="1" applyAlignment="1" applyProtection="1">
      <alignment horizontal="right"/>
    </xf>
    <xf numFmtId="3" fontId="47" fillId="17" borderId="10" xfId="13" applyNumberFormat="1" applyFont="1" applyFill="1" applyBorder="1" applyAlignment="1" applyProtection="1">
      <alignment horizontal="right"/>
    </xf>
    <xf numFmtId="3" fontId="28" fillId="26" borderId="6" xfId="13" applyNumberFormat="1" applyFont="1" applyFill="1" applyBorder="1" applyAlignment="1" applyProtection="1">
      <alignment horizontal="right"/>
    </xf>
    <xf numFmtId="3" fontId="14" fillId="26" borderId="6" xfId="13" applyNumberFormat="1" applyFont="1" applyFill="1" applyBorder="1" applyAlignment="1" applyProtection="1">
      <alignment horizontal="right"/>
    </xf>
    <xf numFmtId="0" fontId="1" fillId="19" borderId="17" xfId="12" applyFont="1" applyFill="1" applyBorder="1" applyAlignment="1">
      <alignment horizontal="center" vertical="center"/>
    </xf>
    <xf numFmtId="0" fontId="1" fillId="19" borderId="10" xfId="12" applyFont="1" applyFill="1" applyBorder="1" applyAlignment="1">
      <alignment horizontal="left"/>
    </xf>
    <xf numFmtId="38" fontId="0" fillId="19" borderId="0" xfId="0" applyNumberFormat="1" applyFill="1" applyBorder="1" applyAlignment="1"/>
    <xf numFmtId="38" fontId="0" fillId="19" borderId="12" xfId="0" applyNumberFormat="1" applyFill="1" applyBorder="1" applyAlignment="1"/>
    <xf numFmtId="9" fontId="9" fillId="19" borderId="0" xfId="16" applyFont="1" applyFill="1" applyBorder="1"/>
    <xf numFmtId="0" fontId="0" fillId="19" borderId="0" xfId="0" applyFill="1" applyBorder="1"/>
    <xf numFmtId="1" fontId="57" fillId="17" borderId="11" xfId="20" applyNumberFormat="1" applyFont="1" applyFill="1" applyBorder="1" applyProtection="1"/>
    <xf numFmtId="0" fontId="58" fillId="17" borderId="38" xfId="20" applyFont="1" applyFill="1" applyBorder="1" applyAlignment="1" applyProtection="1"/>
    <xf numFmtId="0" fontId="59" fillId="17" borderId="38" xfId="20" applyFont="1" applyFill="1" applyBorder="1" applyAlignment="1" applyProtection="1"/>
    <xf numFmtId="0" fontId="60" fillId="17" borderId="38" xfId="20" applyFont="1" applyFill="1" applyBorder="1" applyProtection="1"/>
    <xf numFmtId="0" fontId="1" fillId="17" borderId="38" xfId="20" applyFill="1" applyBorder="1" applyAlignment="1" applyProtection="1"/>
    <xf numFmtId="1" fontId="61" fillId="17" borderId="13" xfId="20" applyNumberFormat="1" applyFont="1" applyFill="1" applyBorder="1" applyAlignment="1" applyProtection="1">
      <alignment horizontal="left"/>
    </xf>
    <xf numFmtId="0" fontId="60" fillId="0" borderId="0" xfId="20" applyFont="1" applyFill="1" applyProtection="1"/>
    <xf numFmtId="1" fontId="57" fillId="17" borderId="39" xfId="20" applyNumberFormat="1" applyFont="1" applyFill="1" applyBorder="1" applyProtection="1"/>
    <xf numFmtId="0" fontId="58" fillId="17" borderId="0" xfId="20" applyFont="1" applyFill="1" applyBorder="1" applyAlignment="1" applyProtection="1"/>
    <xf numFmtId="0" fontId="59" fillId="17" borderId="0" xfId="20" applyFont="1" applyFill="1" applyBorder="1" applyAlignment="1" applyProtection="1"/>
    <xf numFmtId="0" fontId="62" fillId="17" borderId="0" xfId="20" applyFont="1" applyFill="1" applyBorder="1" applyAlignment="1" applyProtection="1">
      <alignment horizontal="center"/>
    </xf>
    <xf numFmtId="0" fontId="63" fillId="17" borderId="0" xfId="20" applyFont="1" applyFill="1" applyBorder="1" applyAlignment="1" applyProtection="1">
      <alignment horizontal="center"/>
    </xf>
    <xf numFmtId="0" fontId="1" fillId="17" borderId="0" xfId="20" applyFill="1" applyBorder="1" applyAlignment="1" applyProtection="1"/>
    <xf numFmtId="1" fontId="61" fillId="17" borderId="40" xfId="20" applyNumberFormat="1" applyFont="1" applyFill="1" applyBorder="1" applyAlignment="1" applyProtection="1">
      <alignment horizontal="left"/>
    </xf>
    <xf numFmtId="1" fontId="64" fillId="17" borderId="39" xfId="20" applyNumberFormat="1" applyFont="1" applyFill="1" applyBorder="1" applyAlignment="1" applyProtection="1">
      <alignment wrapText="1"/>
    </xf>
    <xf numFmtId="17" fontId="66" fillId="19" borderId="14" xfId="20" quotePrefix="1" applyNumberFormat="1" applyFont="1" applyFill="1" applyBorder="1" applyAlignment="1" applyProtection="1">
      <alignment horizontal="center" wrapText="1"/>
    </xf>
    <xf numFmtId="17" fontId="66" fillId="19" borderId="14" xfId="20" applyNumberFormat="1" applyFont="1" applyFill="1" applyBorder="1" applyAlignment="1" applyProtection="1">
      <alignment horizontal="center" wrapText="1"/>
    </xf>
    <xf numFmtId="1" fontId="67" fillId="17" borderId="40" xfId="20" applyNumberFormat="1" applyFont="1" applyFill="1" applyBorder="1" applyAlignment="1" applyProtection="1">
      <alignment horizontal="left" wrapText="1"/>
    </xf>
    <xf numFmtId="0" fontId="10" fillId="0" borderId="0" xfId="20" applyFont="1" applyAlignment="1" applyProtection="1">
      <alignment wrapText="1"/>
    </xf>
    <xf numFmtId="1" fontId="68" fillId="17" borderId="39" xfId="20" applyNumberFormat="1" applyFont="1" applyFill="1" applyBorder="1" applyProtection="1"/>
    <xf numFmtId="0" fontId="69" fillId="17" borderId="7" xfId="20" applyFont="1" applyFill="1" applyBorder="1" applyProtection="1"/>
    <xf numFmtId="0" fontId="70" fillId="0" borderId="9" xfId="0" applyFont="1" applyBorder="1" applyAlignment="1" applyProtection="1">
      <alignment horizontal="left"/>
    </xf>
    <xf numFmtId="0" fontId="1" fillId="0" borderId="10" xfId="20" applyFont="1" applyFill="1" applyBorder="1" applyProtection="1"/>
    <xf numFmtId="1" fontId="68" fillId="17" borderId="40" xfId="20" applyNumberFormat="1" applyFont="1" applyFill="1" applyBorder="1" applyAlignment="1" applyProtection="1">
      <alignment horizontal="left"/>
    </xf>
    <xf numFmtId="0" fontId="1" fillId="0" borderId="0" xfId="20" applyProtection="1"/>
    <xf numFmtId="0" fontId="19" fillId="17" borderId="0" xfId="20" applyFont="1" applyFill="1" applyBorder="1" applyAlignment="1" applyProtection="1"/>
    <xf numFmtId="0" fontId="1" fillId="17" borderId="0" xfId="20" applyFont="1" applyFill="1" applyBorder="1" applyAlignment="1" applyProtection="1"/>
    <xf numFmtId="0" fontId="1" fillId="17" borderId="0" xfId="20" applyFill="1" applyBorder="1" applyProtection="1"/>
    <xf numFmtId="2" fontId="1" fillId="17" borderId="3" xfId="20" applyNumberFormat="1" applyFill="1" applyBorder="1" applyProtection="1"/>
    <xf numFmtId="0" fontId="70" fillId="0" borderId="15" xfId="0" applyFont="1" applyBorder="1" applyAlignment="1" applyProtection="1">
      <alignment horizontal="left"/>
    </xf>
    <xf numFmtId="1" fontId="1" fillId="4" borderId="10" xfId="20" applyNumberFormat="1" applyFill="1" applyBorder="1" applyAlignment="1" applyProtection="1">
      <alignment horizontal="right"/>
    </xf>
    <xf numFmtId="1" fontId="1" fillId="0" borderId="10" xfId="20" applyNumberFormat="1" applyFont="1" applyFill="1" applyBorder="1" applyProtection="1"/>
    <xf numFmtId="2" fontId="1" fillId="0" borderId="0" xfId="20" applyNumberFormat="1" applyProtection="1"/>
    <xf numFmtId="0" fontId="1" fillId="17" borderId="2" xfId="20" applyFill="1" applyBorder="1" applyProtection="1"/>
    <xf numFmtId="0" fontId="70" fillId="0" borderId="16" xfId="0" applyFont="1" applyBorder="1" applyAlignment="1" applyProtection="1">
      <alignment horizontal="left"/>
    </xf>
    <xf numFmtId="0" fontId="1" fillId="17" borderId="5" xfId="20" applyFill="1" applyBorder="1" applyProtection="1"/>
    <xf numFmtId="0" fontId="70" fillId="0" borderId="6" xfId="0" applyFont="1" applyBorder="1" applyAlignment="1" applyProtection="1">
      <alignment horizontal="left"/>
    </xf>
    <xf numFmtId="0" fontId="1" fillId="4" borderId="0" xfId="20" applyFont="1" applyFill="1" applyBorder="1" applyAlignment="1" applyProtection="1"/>
    <xf numFmtId="0" fontId="1" fillId="0" borderId="0" xfId="20" applyBorder="1" applyProtection="1"/>
    <xf numFmtId="0" fontId="1" fillId="17" borderId="17" xfId="20" applyFont="1" applyFill="1" applyBorder="1" applyAlignment="1" applyProtection="1"/>
    <xf numFmtId="0" fontId="1" fillId="4" borderId="1" xfId="20" applyFont="1" applyFill="1" applyBorder="1" applyAlignment="1" applyProtection="1"/>
    <xf numFmtId="0" fontId="1" fillId="17" borderId="1" xfId="20" applyFont="1" applyFill="1" applyBorder="1" applyAlignment="1" applyProtection="1"/>
    <xf numFmtId="0" fontId="71" fillId="0" borderId="41" xfId="20" applyFont="1" applyBorder="1" applyProtection="1"/>
    <xf numFmtId="0" fontId="1" fillId="0" borderId="30" xfId="20" applyBorder="1" applyProtection="1"/>
    <xf numFmtId="0" fontId="11" fillId="0" borderId="30" xfId="20" applyFont="1" applyBorder="1" applyProtection="1"/>
    <xf numFmtId="0" fontId="62" fillId="17" borderId="42" xfId="20" applyFont="1" applyFill="1" applyBorder="1" applyAlignment="1" applyProtection="1">
      <alignment horizontal="center"/>
    </xf>
    <xf numFmtId="0" fontId="72" fillId="0" borderId="37" xfId="20" applyFont="1" applyBorder="1" applyAlignment="1" applyProtection="1">
      <alignment horizontal="left"/>
    </xf>
    <xf numFmtId="0" fontId="71" fillId="0" borderId="0" xfId="20" applyFont="1" applyProtection="1"/>
    <xf numFmtId="0" fontId="72" fillId="0" borderId="0" xfId="20" applyFont="1" applyAlignment="1" applyProtection="1">
      <alignment horizontal="left"/>
    </xf>
    <xf numFmtId="1" fontId="1" fillId="31" borderId="9" xfId="20" applyNumberFormat="1" applyFill="1" applyBorder="1" applyAlignment="1" applyProtection="1">
      <alignment horizontal="right"/>
      <protection locked="0"/>
    </xf>
    <xf numFmtId="1" fontId="1" fillId="4" borderId="9" xfId="20" applyNumberFormat="1" applyFill="1" applyBorder="1" applyAlignment="1" applyProtection="1">
      <alignment horizontal="right"/>
    </xf>
    <xf numFmtId="1" fontId="1" fillId="31" borderId="10" xfId="20" applyNumberFormat="1" applyFill="1" applyBorder="1" applyAlignment="1" applyProtection="1">
      <alignment horizontal="right"/>
    </xf>
    <xf numFmtId="1" fontId="1" fillId="31" borderId="9" xfId="20" applyNumberFormat="1" applyFill="1" applyBorder="1" applyAlignment="1" applyProtection="1">
      <alignment horizontal="right"/>
    </xf>
    <xf numFmtId="0" fontId="73" fillId="17" borderId="38" xfId="20" applyFont="1" applyFill="1" applyBorder="1" applyAlignment="1" applyProtection="1"/>
    <xf numFmtId="0" fontId="38" fillId="0" borderId="1" xfId="11" applyBorder="1" applyAlignment="1" applyProtection="1"/>
    <xf numFmtId="0" fontId="1" fillId="17" borderId="0" xfId="20" applyFont="1" applyFill="1" applyBorder="1" applyProtection="1"/>
    <xf numFmtId="0" fontId="1" fillId="17" borderId="0" xfId="20" applyFont="1" applyFill="1" applyProtection="1"/>
    <xf numFmtId="0" fontId="1" fillId="17" borderId="7" xfId="20" applyFont="1" applyFill="1" applyBorder="1" applyProtection="1"/>
    <xf numFmtId="0" fontId="38" fillId="17" borderId="9" xfId="11" applyFill="1" applyBorder="1" applyAlignment="1" applyProtection="1"/>
    <xf numFmtId="0" fontId="1" fillId="30" borderId="8" xfId="20" applyFont="1" applyFill="1" applyBorder="1" applyProtection="1"/>
    <xf numFmtId="0" fontId="1" fillId="30" borderId="10" xfId="20" applyFont="1" applyFill="1" applyBorder="1" applyProtection="1"/>
    <xf numFmtId="2" fontId="38" fillId="17" borderId="15" xfId="11" applyNumberFormat="1" applyFill="1" applyBorder="1" applyAlignment="1" applyProtection="1"/>
    <xf numFmtId="0" fontId="38" fillId="17" borderId="16" xfId="11" applyFill="1" applyBorder="1" applyAlignment="1" applyProtection="1"/>
    <xf numFmtId="1" fontId="74" fillId="17" borderId="39" xfId="20" applyNumberFormat="1" applyFont="1" applyFill="1" applyBorder="1" applyProtection="1"/>
    <xf numFmtId="0" fontId="1" fillId="0" borderId="5" xfId="20" applyFont="1" applyFill="1" applyBorder="1" applyProtection="1"/>
    <xf numFmtId="0" fontId="1" fillId="17" borderId="6" xfId="20" applyFont="1" applyFill="1" applyBorder="1" applyAlignment="1" applyProtection="1"/>
    <xf numFmtId="0" fontId="1" fillId="0" borderId="9" xfId="20" applyFont="1" applyFill="1" applyBorder="1" applyProtection="1"/>
    <xf numFmtId="1" fontId="74" fillId="17" borderId="40" xfId="20" applyNumberFormat="1" applyFont="1" applyFill="1" applyBorder="1" applyAlignment="1" applyProtection="1">
      <alignment horizontal="left"/>
    </xf>
    <xf numFmtId="0" fontId="1" fillId="0" borderId="0" xfId="20" applyFont="1" applyFill="1" applyProtection="1"/>
    <xf numFmtId="0" fontId="1" fillId="17" borderId="8" xfId="20" applyFont="1" applyFill="1" applyBorder="1" applyAlignment="1" applyProtection="1"/>
    <xf numFmtId="0" fontId="1" fillId="17" borderId="5" xfId="20" applyFont="1" applyFill="1" applyBorder="1" applyProtection="1"/>
    <xf numFmtId="1" fontId="1" fillId="0" borderId="9" xfId="20" applyNumberFormat="1" applyFont="1" applyFill="1" applyBorder="1" applyProtection="1"/>
    <xf numFmtId="0" fontId="1" fillId="17" borderId="3" xfId="20" applyFill="1" applyBorder="1" applyProtection="1"/>
    <xf numFmtId="2" fontId="5" fillId="17" borderId="15" xfId="20" applyNumberFormat="1" applyFont="1" applyFill="1" applyBorder="1" applyAlignment="1" applyProtection="1"/>
    <xf numFmtId="1" fontId="1" fillId="0" borderId="9" xfId="20" applyNumberFormat="1" applyFill="1" applyBorder="1" applyAlignment="1" applyProtection="1">
      <alignment horizontal="right"/>
    </xf>
    <xf numFmtId="0" fontId="5" fillId="17" borderId="16" xfId="20" applyFont="1" applyFill="1" applyBorder="1" applyAlignment="1" applyProtection="1"/>
    <xf numFmtId="0" fontId="5" fillId="17" borderId="6" xfId="20" applyFont="1" applyFill="1" applyBorder="1" applyAlignment="1" applyProtection="1"/>
    <xf numFmtId="0" fontId="71" fillId="17" borderId="41" xfId="20" applyFont="1" applyFill="1" applyBorder="1" applyProtection="1"/>
    <xf numFmtId="0" fontId="1" fillId="17" borderId="30" xfId="20" applyFill="1" applyBorder="1" applyProtection="1"/>
    <xf numFmtId="0" fontId="62" fillId="17" borderId="30" xfId="20" applyFont="1" applyFill="1" applyBorder="1" applyAlignment="1" applyProtection="1">
      <alignment horizontal="center"/>
    </xf>
    <xf numFmtId="0" fontId="63" fillId="17" borderId="30" xfId="20" applyFont="1" applyFill="1" applyBorder="1" applyAlignment="1" applyProtection="1">
      <alignment horizontal="center"/>
    </xf>
    <xf numFmtId="0" fontId="72" fillId="17" borderId="37" xfId="20" applyFont="1" applyFill="1" applyBorder="1" applyAlignment="1" applyProtection="1">
      <alignment horizontal="left"/>
    </xf>
    <xf numFmtId="1" fontId="75" fillId="17" borderId="11" xfId="0" applyNumberFormat="1" applyFont="1" applyFill="1" applyBorder="1" applyProtection="1"/>
    <xf numFmtId="0" fontId="73" fillId="17" borderId="38" xfId="0" applyFont="1" applyFill="1" applyBorder="1" applyAlignment="1" applyProtection="1"/>
    <xf numFmtId="0" fontId="76" fillId="17" borderId="38" xfId="0" applyFont="1" applyFill="1" applyBorder="1" applyAlignment="1" applyProtection="1"/>
    <xf numFmtId="0" fontId="77" fillId="0" borderId="38" xfId="0" applyFont="1" applyFill="1" applyBorder="1" applyProtection="1"/>
    <xf numFmtId="0" fontId="77" fillId="17" borderId="38" xfId="0" applyFont="1" applyFill="1" applyBorder="1" applyAlignment="1" applyProtection="1"/>
    <xf numFmtId="0" fontId="78" fillId="17" borderId="38" xfId="0" applyFont="1" applyFill="1" applyBorder="1" applyAlignment="1" applyProtection="1"/>
    <xf numFmtId="1" fontId="75" fillId="17" borderId="13" xfId="0" applyNumberFormat="1" applyFont="1" applyFill="1" applyBorder="1" applyAlignment="1" applyProtection="1">
      <alignment horizontal="left"/>
    </xf>
    <xf numFmtId="1" fontId="68" fillId="17" borderId="39" xfId="0" applyNumberFormat="1" applyFont="1" applyFill="1" applyBorder="1" applyProtection="1"/>
    <xf numFmtId="0" fontId="58" fillId="17" borderId="0" xfId="0" applyFont="1" applyFill="1" applyBorder="1" applyAlignment="1" applyProtection="1"/>
    <xf numFmtId="0" fontId="59" fillId="17" borderId="0" xfId="0" applyFont="1" applyFill="1" applyBorder="1" applyAlignment="1" applyProtection="1"/>
    <xf numFmtId="0" fontId="62" fillId="17" borderId="0" xfId="0" applyFont="1" applyFill="1" applyBorder="1" applyAlignment="1" applyProtection="1">
      <alignment horizontal="center"/>
    </xf>
    <xf numFmtId="0" fontId="63" fillId="17" borderId="0" xfId="0" applyFont="1" applyFill="1" applyBorder="1" applyAlignment="1" applyProtection="1">
      <alignment horizontal="center"/>
    </xf>
    <xf numFmtId="0" fontId="0" fillId="17" borderId="0" xfId="0" applyFill="1" applyBorder="1" applyAlignment="1" applyProtection="1"/>
    <xf numFmtId="1" fontId="68" fillId="17" borderId="40" xfId="0" applyNumberFormat="1" applyFont="1" applyFill="1" applyBorder="1" applyAlignment="1" applyProtection="1">
      <alignment horizontal="left"/>
    </xf>
    <xf numFmtId="0" fontId="65" fillId="19" borderId="16" xfId="0" applyFont="1" applyFill="1" applyBorder="1" applyAlignment="1" applyProtection="1"/>
    <xf numFmtId="0" fontId="10" fillId="19" borderId="0" xfId="0" applyFont="1" applyFill="1" applyAlignment="1" applyProtection="1">
      <alignment wrapText="1"/>
    </xf>
    <xf numFmtId="17" fontId="66" fillId="19" borderId="14" xfId="0" quotePrefix="1" applyNumberFormat="1" applyFont="1" applyFill="1" applyBorder="1" applyAlignment="1" applyProtection="1">
      <alignment horizontal="center"/>
    </xf>
    <xf numFmtId="17" fontId="66" fillId="19" borderId="14" xfId="0" applyNumberFormat="1" applyFont="1" applyFill="1" applyBorder="1" applyAlignment="1" applyProtection="1">
      <alignment horizontal="center"/>
    </xf>
    <xf numFmtId="17" fontId="66" fillId="19" borderId="10" xfId="0" applyNumberFormat="1" applyFont="1" applyFill="1" applyBorder="1" applyAlignment="1" applyProtection="1">
      <alignment horizontal="center"/>
    </xf>
    <xf numFmtId="1" fontId="67" fillId="17" borderId="40" xfId="0" applyNumberFormat="1" applyFont="1" applyFill="1" applyBorder="1" applyAlignment="1" applyProtection="1">
      <alignment horizontal="left" wrapText="1"/>
    </xf>
    <xf numFmtId="1" fontId="67" fillId="17" borderId="39" xfId="0" applyNumberFormat="1" applyFont="1" applyFill="1" applyBorder="1" applyAlignment="1" applyProtection="1">
      <alignment wrapText="1"/>
    </xf>
    <xf numFmtId="0" fontId="0" fillId="17" borderId="7" xfId="0" applyFill="1" applyBorder="1" applyAlignment="1" applyProtection="1"/>
    <xf numFmtId="0" fontId="1" fillId="0" borderId="10" xfId="0" applyFont="1" applyFill="1" applyBorder="1" applyAlignment="1" applyProtection="1"/>
    <xf numFmtId="0" fontId="19" fillId="17" borderId="0" xfId="0" applyFont="1" applyFill="1" applyBorder="1" applyAlignment="1" applyProtection="1"/>
    <xf numFmtId="0" fontId="1" fillId="17" borderId="0" xfId="0" applyFont="1" applyFill="1" applyBorder="1" applyAlignment="1" applyProtection="1"/>
    <xf numFmtId="0" fontId="1" fillId="17" borderId="1" xfId="0" applyFont="1" applyFill="1" applyBorder="1" applyAlignment="1" applyProtection="1"/>
    <xf numFmtId="2" fontId="0" fillId="17" borderId="3" xfId="0" applyNumberFormat="1" applyFill="1" applyBorder="1" applyAlignment="1" applyProtection="1"/>
    <xf numFmtId="1" fontId="1" fillId="0" borderId="10" xfId="0" applyNumberFormat="1" applyFont="1" applyFill="1" applyBorder="1" applyAlignment="1" applyProtection="1"/>
    <xf numFmtId="0" fontId="0" fillId="17" borderId="2" xfId="0" applyFill="1" applyBorder="1" applyAlignment="1" applyProtection="1"/>
    <xf numFmtId="2" fontId="0" fillId="17" borderId="2" xfId="0" applyNumberFormat="1" applyFill="1" applyBorder="1" applyAlignment="1" applyProtection="1"/>
    <xf numFmtId="0" fontId="1" fillId="17" borderId="5" xfId="0" applyFont="1" applyFill="1" applyBorder="1" applyAlignment="1" applyProtection="1"/>
    <xf numFmtId="0" fontId="1" fillId="17" borderId="6" xfId="0" applyFont="1" applyFill="1" applyBorder="1" applyAlignment="1" applyProtection="1"/>
    <xf numFmtId="0" fontId="1" fillId="0" borderId="9" xfId="0" applyFont="1" applyFill="1" applyBorder="1" applyAlignment="1" applyProtection="1"/>
    <xf numFmtId="1" fontId="74" fillId="17" borderId="39" xfId="0" applyNumberFormat="1" applyFont="1" applyFill="1" applyBorder="1" applyProtection="1"/>
    <xf numFmtId="0" fontId="1" fillId="17" borderId="8" xfId="0" applyFont="1" applyFill="1" applyBorder="1" applyAlignment="1" applyProtection="1"/>
    <xf numFmtId="0" fontId="0" fillId="17" borderId="3" xfId="0" applyFill="1" applyBorder="1" applyAlignment="1" applyProtection="1"/>
    <xf numFmtId="1" fontId="68" fillId="17" borderId="40" xfId="0" applyNumberFormat="1" applyFont="1" applyFill="1" applyBorder="1" applyProtection="1"/>
    <xf numFmtId="0" fontId="0" fillId="17" borderId="5" xfId="0" applyFill="1" applyBorder="1" applyAlignment="1" applyProtection="1"/>
    <xf numFmtId="0" fontId="0" fillId="17" borderId="3" xfId="0" applyFill="1" applyBorder="1" applyProtection="1"/>
    <xf numFmtId="2" fontId="5" fillId="17" borderId="15" xfId="0" applyNumberFormat="1" applyFont="1" applyFill="1" applyBorder="1" applyAlignment="1" applyProtection="1"/>
    <xf numFmtId="1" fontId="0" fillId="0" borderId="9" xfId="0" applyNumberFormat="1" applyFill="1" applyBorder="1" applyAlignment="1" applyProtection="1">
      <alignment horizontal="right"/>
    </xf>
    <xf numFmtId="0" fontId="0" fillId="17" borderId="2" xfId="0" applyFill="1" applyBorder="1" applyProtection="1"/>
    <xf numFmtId="0" fontId="5" fillId="17" borderId="16" xfId="0" applyFont="1" applyFill="1" applyBorder="1" applyAlignment="1" applyProtection="1"/>
    <xf numFmtId="0" fontId="1" fillId="17" borderId="5" xfId="0" applyFont="1" applyFill="1" applyBorder="1" applyProtection="1"/>
    <xf numFmtId="0" fontId="5" fillId="17" borderId="6" xfId="0" applyFont="1" applyFill="1" applyBorder="1" applyAlignment="1" applyProtection="1"/>
    <xf numFmtId="1" fontId="1" fillId="0" borderId="9" xfId="0" applyNumberFormat="1" applyFont="1" applyFill="1" applyBorder="1" applyProtection="1"/>
    <xf numFmtId="0" fontId="1" fillId="0" borderId="10" xfId="0" applyFont="1" applyFill="1" applyBorder="1" applyProtection="1"/>
    <xf numFmtId="1" fontId="61" fillId="17" borderId="40" xfId="0" applyNumberFormat="1" applyFont="1" applyFill="1" applyBorder="1" applyAlignment="1" applyProtection="1">
      <alignment horizontal="left"/>
    </xf>
    <xf numFmtId="0" fontId="1" fillId="17" borderId="0" xfId="0" applyFont="1" applyFill="1" applyBorder="1" applyProtection="1"/>
    <xf numFmtId="0" fontId="71" fillId="17" borderId="41" xfId="0" applyFont="1" applyFill="1" applyBorder="1" applyProtection="1"/>
    <xf numFmtId="0" fontId="0" fillId="17" borderId="30" xfId="0" applyFill="1" applyBorder="1" applyProtection="1"/>
    <xf numFmtId="0" fontId="62" fillId="17" borderId="30" xfId="0" applyFont="1" applyFill="1" applyBorder="1" applyAlignment="1" applyProtection="1">
      <alignment horizontal="center"/>
    </xf>
    <xf numFmtId="0" fontId="63" fillId="17" borderId="30" xfId="0" applyFont="1" applyFill="1" applyBorder="1" applyAlignment="1" applyProtection="1">
      <alignment horizontal="center"/>
    </xf>
    <xf numFmtId="0" fontId="72" fillId="17" borderId="37" xfId="0" applyFont="1" applyFill="1" applyBorder="1" applyAlignment="1" applyProtection="1">
      <alignment horizontal="left"/>
    </xf>
    <xf numFmtId="1" fontId="68" fillId="17" borderId="11" xfId="0" applyNumberFormat="1" applyFont="1" applyFill="1" applyBorder="1" applyAlignment="1" applyProtection="1"/>
    <xf numFmtId="0" fontId="58" fillId="17" borderId="38" xfId="0" applyFont="1" applyFill="1" applyBorder="1" applyAlignment="1" applyProtection="1"/>
    <xf numFmtId="0" fontId="69" fillId="17" borderId="38" xfId="0" applyFont="1" applyFill="1" applyBorder="1" applyAlignment="1" applyProtection="1"/>
    <xf numFmtId="0" fontId="60" fillId="17" borderId="38" xfId="0" applyFont="1" applyFill="1" applyBorder="1" applyAlignment="1" applyProtection="1"/>
    <xf numFmtId="1" fontId="68" fillId="17" borderId="13" xfId="0" applyNumberFormat="1" applyFont="1" applyFill="1" applyBorder="1" applyAlignment="1" applyProtection="1">
      <alignment horizontal="left"/>
    </xf>
    <xf numFmtId="1" fontId="68" fillId="17" borderId="39" xfId="0" applyNumberFormat="1" applyFont="1" applyFill="1" applyBorder="1" applyAlignment="1" applyProtection="1"/>
    <xf numFmtId="0" fontId="69" fillId="17" borderId="0" xfId="0" applyFont="1" applyFill="1" applyBorder="1" applyAlignment="1" applyProtection="1"/>
    <xf numFmtId="17" fontId="66" fillId="19" borderId="14" xfId="0" quotePrefix="1" applyNumberFormat="1" applyFont="1" applyFill="1" applyBorder="1" applyAlignment="1" applyProtection="1">
      <alignment horizontal="center" wrapText="1"/>
    </xf>
    <xf numFmtId="17" fontId="66" fillId="19" borderId="14" xfId="0" applyNumberFormat="1" applyFont="1" applyFill="1" applyBorder="1" applyAlignment="1" applyProtection="1">
      <alignment horizontal="center" wrapText="1"/>
    </xf>
    <xf numFmtId="0" fontId="19" fillId="0" borderId="0" xfId="0" applyFont="1" applyBorder="1" applyAlignment="1" applyProtection="1"/>
    <xf numFmtId="0" fontId="1" fillId="0" borderId="5" xfId="0" applyFont="1" applyFill="1" applyBorder="1" applyAlignment="1" applyProtection="1"/>
    <xf numFmtId="1" fontId="1" fillId="31" borderId="9" xfId="0" applyNumberFormat="1" applyFont="1" applyFill="1" applyBorder="1" applyAlignment="1" applyProtection="1">
      <alignment horizontal="right"/>
    </xf>
    <xf numFmtId="0" fontId="5" fillId="32" borderId="10" xfId="0" applyFont="1" applyFill="1" applyBorder="1" applyAlignment="1" applyProtection="1">
      <alignment horizontal="left"/>
    </xf>
    <xf numFmtId="1" fontId="5" fillId="32" borderId="10" xfId="20" applyNumberFormat="1" applyFont="1" applyFill="1" applyBorder="1" applyAlignment="1" applyProtection="1">
      <alignment horizontal="right"/>
      <protection locked="0"/>
    </xf>
    <xf numFmtId="1" fontId="5" fillId="32" borderId="10" xfId="20" applyNumberFormat="1" applyFont="1" applyFill="1" applyBorder="1" applyAlignment="1" applyProtection="1">
      <alignment horizontal="right"/>
    </xf>
    <xf numFmtId="3" fontId="5" fillId="32" borderId="10" xfId="20" applyNumberFormat="1" applyFont="1" applyFill="1" applyBorder="1" applyAlignment="1" applyProtection="1">
      <alignment horizontal="right"/>
      <protection locked="0"/>
    </xf>
    <xf numFmtId="0" fontId="0" fillId="0" borderId="0" xfId="0" applyAlignment="1">
      <alignment horizontal="left"/>
    </xf>
    <xf numFmtId="0" fontId="28" fillId="0" borderId="0" xfId="0" applyFont="1" applyFill="1" applyBorder="1" applyAlignment="1">
      <alignment vertical="center" wrapText="1"/>
    </xf>
    <xf numFmtId="0" fontId="28" fillId="0" borderId="10" xfId="0" applyFont="1" applyFill="1" applyBorder="1" applyAlignment="1">
      <alignment vertical="center" wrapText="1"/>
    </xf>
    <xf numFmtId="0" fontId="1" fillId="0" borderId="0" xfId="0" applyFont="1" applyFill="1" applyBorder="1" applyAlignment="1">
      <alignment vertical="center" wrapText="1"/>
    </xf>
    <xf numFmtId="0" fontId="5" fillId="12" borderId="10" xfId="0" applyFont="1" applyFill="1" applyBorder="1" applyAlignment="1">
      <alignment horizontal="center" vertical="center" wrapText="1"/>
    </xf>
    <xf numFmtId="0" fontId="1" fillId="29" borderId="9" xfId="0" applyFont="1" applyFill="1" applyBorder="1"/>
    <xf numFmtId="9" fontId="1" fillId="0" borderId="9" xfId="0" applyNumberFormat="1" applyFont="1" applyFill="1" applyBorder="1" applyAlignment="1">
      <alignment horizontal="left"/>
    </xf>
    <xf numFmtId="0" fontId="1" fillId="0" borderId="10" xfId="0" applyFont="1" applyBorder="1"/>
    <xf numFmtId="3" fontId="1" fillId="0" borderId="10" xfId="0" applyNumberFormat="1" applyFont="1" applyFill="1" applyBorder="1"/>
    <xf numFmtId="0" fontId="0" fillId="0" borderId="10" xfId="0" applyBorder="1"/>
    <xf numFmtId="0" fontId="1" fillId="0" borderId="10" xfId="0" applyFont="1" applyBorder="1" applyAlignment="1">
      <alignment horizontal="center" vertical="center"/>
    </xf>
    <xf numFmtId="0" fontId="1" fillId="19" borderId="14" xfId="12" applyFont="1" applyFill="1" applyBorder="1" applyAlignment="1">
      <alignment horizontal="left"/>
    </xf>
    <xf numFmtId="0" fontId="1" fillId="19" borderId="12" xfId="12" applyFont="1" applyFill="1" applyBorder="1" applyAlignment="1">
      <alignment horizontal="left"/>
    </xf>
    <xf numFmtId="0" fontId="1" fillId="0" borderId="10" xfId="0" applyFont="1" applyFill="1" applyBorder="1" applyAlignment="1">
      <alignment horizontal="left"/>
    </xf>
    <xf numFmtId="10" fontId="0" fillId="12" borderId="12" xfId="0" applyNumberFormat="1" applyFill="1" applyBorder="1" applyAlignment="1"/>
    <xf numFmtId="38" fontId="1" fillId="19" borderId="12" xfId="0" applyNumberFormat="1" applyFont="1" applyFill="1" applyBorder="1" applyAlignment="1"/>
    <xf numFmtId="10" fontId="1" fillId="0" borderId="10" xfId="0" applyNumberFormat="1" applyFont="1" applyFill="1" applyBorder="1"/>
    <xf numFmtId="10" fontId="5" fillId="0" borderId="10" xfId="16" applyNumberFormat="1" applyFont="1" applyBorder="1" applyAlignment="1">
      <alignment horizontal="right"/>
    </xf>
    <xf numFmtId="0" fontId="56" fillId="0" borderId="0" xfId="0" applyFont="1" applyFill="1" applyAlignment="1">
      <alignment vertical="center"/>
    </xf>
    <xf numFmtId="0" fontId="6" fillId="0" borderId="0" xfId="12" applyFill="1"/>
    <xf numFmtId="0" fontId="6" fillId="12" borderId="10" xfId="12" applyFill="1" applyBorder="1" applyAlignment="1">
      <alignment horizontal="center"/>
    </xf>
    <xf numFmtId="167" fontId="6" fillId="12" borderId="10" xfId="12" applyNumberFormat="1" applyFill="1" applyBorder="1" applyAlignment="1">
      <alignment horizontal="center"/>
    </xf>
    <xf numFmtId="9" fontId="6" fillId="12" borderId="10" xfId="12" applyNumberFormat="1" applyFont="1" applyFill="1" applyBorder="1" applyAlignment="1">
      <alignment horizontal="center"/>
    </xf>
    <xf numFmtId="38" fontId="0" fillId="33" borderId="12" xfId="0" applyNumberFormat="1" applyFill="1" applyBorder="1" applyAlignment="1"/>
    <xf numFmtId="10" fontId="0" fillId="0" borderId="12" xfId="0" applyNumberFormat="1" applyFill="1" applyBorder="1" applyAlignment="1"/>
    <xf numFmtId="168" fontId="47" fillId="0" borderId="10" xfId="13" applyNumberFormat="1" applyFont="1" applyFill="1" applyBorder="1" applyAlignment="1" applyProtection="1">
      <alignment horizontal="right"/>
      <protection locked="0"/>
    </xf>
    <xf numFmtId="0" fontId="2" fillId="13" borderId="10" xfId="0" applyFont="1" applyFill="1" applyBorder="1" applyAlignment="1">
      <alignment horizontal="center" vertical="center" wrapText="1"/>
    </xf>
    <xf numFmtId="0" fontId="4" fillId="0" borderId="0" xfId="0" applyFont="1" applyFill="1" applyBorder="1"/>
    <xf numFmtId="0" fontId="79" fillId="0" borderId="0" xfId="0" applyFont="1" applyFill="1" applyBorder="1"/>
    <xf numFmtId="167" fontId="80" fillId="0" borderId="0" xfId="16" applyNumberFormat="1" applyFont="1"/>
    <xf numFmtId="0" fontId="2" fillId="0" borderId="0" xfId="0" applyFont="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27" borderId="10" xfId="0" applyFont="1" applyFill="1" applyBorder="1" applyAlignment="1">
      <alignment horizontal="center" vertical="center"/>
    </xf>
    <xf numFmtId="0" fontId="4" fillId="0" borderId="0" xfId="0" applyFont="1" applyAlignment="1">
      <alignment horizontal="center"/>
    </xf>
    <xf numFmtId="0" fontId="4" fillId="0" borderId="14" xfId="0" applyFont="1" applyBorder="1"/>
    <xf numFmtId="0" fontId="81" fillId="0" borderId="4" xfId="0" applyFont="1" applyFill="1" applyBorder="1" applyAlignment="1">
      <alignment horizontal="center"/>
    </xf>
    <xf numFmtId="0" fontId="82" fillId="0" borderId="0" xfId="0" applyFont="1" applyFill="1" applyBorder="1" applyAlignment="1">
      <alignment horizontal="center"/>
    </xf>
    <xf numFmtId="0" fontId="2" fillId="0" borderId="17" xfId="0" applyFont="1" applyFill="1" applyBorder="1" applyAlignment="1">
      <alignment horizontal="center"/>
    </xf>
    <xf numFmtId="0" fontId="2" fillId="0" borderId="17" xfId="0" applyFont="1" applyBorder="1" applyAlignment="1">
      <alignment horizontal="center"/>
    </xf>
    <xf numFmtId="0" fontId="81" fillId="0" borderId="0" xfId="0" applyFont="1" applyFill="1" applyBorder="1" applyAlignment="1">
      <alignment horizontal="center"/>
    </xf>
    <xf numFmtId="0" fontId="81" fillId="7" borderId="17" xfId="0" applyFont="1" applyFill="1" applyBorder="1" applyAlignment="1">
      <alignment horizontal="center"/>
    </xf>
    <xf numFmtId="0" fontId="2" fillId="0" borderId="12" xfId="0" applyFont="1" applyBorder="1" applyAlignment="1">
      <alignment horizontal="center"/>
    </xf>
    <xf numFmtId="0" fontId="81" fillId="0" borderId="1" xfId="0" applyFont="1" applyFill="1" applyBorder="1" applyAlignment="1">
      <alignment horizontal="center"/>
    </xf>
    <xf numFmtId="0" fontId="81" fillId="7" borderId="12" xfId="0" applyFont="1" applyFill="1" applyBorder="1" applyAlignment="1">
      <alignment horizontal="center"/>
    </xf>
    <xf numFmtId="0" fontId="4" fillId="0" borderId="10" xfId="12" applyFont="1" applyBorder="1" applyAlignment="1">
      <alignment horizontal="left"/>
    </xf>
    <xf numFmtId="38" fontId="4" fillId="0" borderId="0" xfId="0" applyNumberFormat="1" applyFont="1" applyFill="1" applyBorder="1" applyAlignment="1"/>
    <xf numFmtId="167" fontId="80" fillId="0" borderId="12" xfId="16" applyNumberFormat="1" applyFont="1" applyBorder="1" applyAlignment="1"/>
    <xf numFmtId="0" fontId="4" fillId="0" borderId="10" xfId="12" applyFont="1" applyFill="1" applyBorder="1" applyAlignment="1">
      <alignment horizontal="left"/>
    </xf>
    <xf numFmtId="0" fontId="4" fillId="0" borderId="10" xfId="0" applyFont="1" applyFill="1" applyBorder="1" applyAlignment="1">
      <alignment horizontal="left"/>
    </xf>
    <xf numFmtId="0" fontId="4" fillId="0" borderId="10" xfId="0" applyFont="1" applyBorder="1" applyAlignment="1">
      <alignment horizontal="left"/>
    </xf>
    <xf numFmtId="0" fontId="4" fillId="3" borderId="10" xfId="0" applyFont="1" applyFill="1" applyBorder="1" applyAlignment="1">
      <alignment horizontal="left"/>
    </xf>
    <xf numFmtId="38" fontId="4" fillId="3" borderId="10" xfId="0" applyNumberFormat="1" applyFont="1" applyFill="1" applyBorder="1" applyAlignment="1"/>
    <xf numFmtId="167" fontId="80" fillId="3" borderId="10" xfId="16" applyNumberFormat="1" applyFont="1" applyFill="1" applyBorder="1" applyAlignment="1"/>
    <xf numFmtId="0" fontId="4" fillId="0" borderId="3" xfId="0" applyFont="1" applyBorder="1" applyAlignment="1">
      <alignment horizontal="left"/>
    </xf>
    <xf numFmtId="0" fontId="4" fillId="0" borderId="15" xfId="0" applyFont="1" applyBorder="1" applyAlignment="1">
      <alignment horizontal="left"/>
    </xf>
    <xf numFmtId="38" fontId="4" fillId="0" borderId="14" xfId="0" applyNumberFormat="1" applyFont="1" applyBorder="1" applyAlignment="1">
      <alignment horizontal="center"/>
    </xf>
    <xf numFmtId="167" fontId="80" fillId="0" borderId="14" xfId="16" applyNumberFormat="1" applyFont="1" applyBorder="1" applyAlignment="1"/>
    <xf numFmtId="0" fontId="2" fillId="0" borderId="2" xfId="0" applyFont="1" applyBorder="1" applyAlignment="1">
      <alignment horizontal="center"/>
    </xf>
    <xf numFmtId="0" fontId="2" fillId="0" borderId="16" xfId="0" applyFont="1" applyBorder="1" applyAlignment="1">
      <alignment horizontal="center"/>
    </xf>
    <xf numFmtId="38" fontId="2" fillId="0" borderId="0" xfId="0" applyNumberFormat="1" applyFont="1" applyFill="1" applyBorder="1" applyAlignment="1"/>
    <xf numFmtId="8" fontId="82" fillId="0" borderId="0" xfId="0" applyNumberFormat="1" applyFont="1" applyFill="1" applyBorder="1" applyAlignment="1">
      <alignment horizontal="right"/>
    </xf>
    <xf numFmtId="167" fontId="85" fillId="0" borderId="17" xfId="16" applyNumberFormat="1" applyFont="1" applyBorder="1" applyAlignment="1"/>
    <xf numFmtId="0" fontId="2" fillId="0" borderId="5" xfId="0" applyFont="1" applyBorder="1" applyAlignment="1">
      <alignment horizontal="center"/>
    </xf>
    <xf numFmtId="0" fontId="2" fillId="0" borderId="6" xfId="0" applyFont="1" applyBorder="1" applyAlignment="1">
      <alignment horizontal="center"/>
    </xf>
    <xf numFmtId="0" fontId="4" fillId="0" borderId="12" xfId="0" applyFont="1" applyBorder="1" applyAlignment="1"/>
    <xf numFmtId="0" fontId="4" fillId="0" borderId="12" xfId="0" applyFont="1" applyBorder="1" applyAlignment="1">
      <alignment horizontal="left"/>
    </xf>
    <xf numFmtId="167" fontId="85" fillId="0" borderId="12" xfId="16" applyNumberFormat="1" applyFont="1" applyBorder="1" applyAlignment="1"/>
    <xf numFmtId="0" fontId="2" fillId="0" borderId="0" xfId="0" applyFont="1" applyBorder="1" applyAlignment="1">
      <alignment horizontal="center"/>
    </xf>
    <xf numFmtId="0" fontId="4" fillId="0" borderId="0" xfId="0" applyFont="1" applyBorder="1" applyAlignment="1">
      <alignment horizontal="left"/>
    </xf>
    <xf numFmtId="167" fontId="85" fillId="0" borderId="0" xfId="16" applyNumberFormat="1" applyFont="1" applyBorder="1" applyAlignment="1"/>
    <xf numFmtId="0" fontId="86" fillId="18" borderId="9" xfId="0" applyFont="1" applyFill="1" applyBorder="1" applyAlignment="1">
      <alignment horizontal="center"/>
    </xf>
    <xf numFmtId="0" fontId="86" fillId="18" borderId="10" xfId="0" applyFont="1" applyFill="1" applyBorder="1" applyAlignment="1">
      <alignment horizontal="center"/>
    </xf>
    <xf numFmtId="0" fontId="81" fillId="7" borderId="10" xfId="0" applyFont="1" applyFill="1" applyBorder="1" applyAlignment="1">
      <alignment horizontal="center"/>
    </xf>
    <xf numFmtId="0" fontId="2" fillId="0" borderId="16" xfId="0" applyFont="1" applyFill="1" applyBorder="1" applyAlignment="1">
      <alignment horizontal="center"/>
    </xf>
    <xf numFmtId="0" fontId="2" fillId="0" borderId="6" xfId="0" applyFont="1" applyFill="1" applyBorder="1" applyAlignment="1">
      <alignment horizontal="center"/>
    </xf>
    <xf numFmtId="8" fontId="4" fillId="0" borderId="0" xfId="0" applyNumberFormat="1" applyFont="1"/>
    <xf numFmtId="0" fontId="2" fillId="13" borderId="7" xfId="0" applyFont="1" applyFill="1" applyBorder="1" applyAlignment="1">
      <alignment vertical="center" wrapText="1"/>
    </xf>
    <xf numFmtId="8" fontId="4" fillId="0" borderId="10" xfId="0" applyNumberFormat="1" applyFont="1" applyFill="1" applyBorder="1" applyAlignment="1">
      <alignment horizontal="right"/>
    </xf>
    <xf numFmtId="8" fontId="4" fillId="3" borderId="10" xfId="0" applyNumberFormat="1" applyFont="1" applyFill="1" applyBorder="1" applyAlignment="1">
      <alignment horizontal="right"/>
    </xf>
    <xf numFmtId="8" fontId="4" fillId="0" borderId="10" xfId="0" applyNumberFormat="1" applyFont="1" applyBorder="1" applyAlignment="1">
      <alignment horizontal="right"/>
    </xf>
    <xf numFmtId="8" fontId="89" fillId="3" borderId="10" xfId="0" applyNumberFormat="1" applyFont="1" applyFill="1" applyBorder="1" applyAlignment="1">
      <alignment horizontal="right"/>
    </xf>
    <xf numFmtId="38" fontId="89" fillId="0" borderId="0" xfId="0" applyNumberFormat="1" applyFont="1" applyFill="1" applyBorder="1" applyAlignment="1"/>
    <xf numFmtId="167" fontId="80" fillId="0" borderId="10" xfId="16" applyNumberFormat="1" applyFont="1" applyBorder="1" applyAlignment="1"/>
    <xf numFmtId="38" fontId="4" fillId="0" borderId="3" xfId="0" applyNumberFormat="1" applyFont="1" applyBorder="1" applyAlignment="1">
      <alignment horizontal="center"/>
    </xf>
    <xf numFmtId="8" fontId="4" fillId="0" borderId="2" xfId="0" applyNumberFormat="1" applyFont="1" applyFill="1" applyBorder="1" applyAlignment="1">
      <alignment horizontal="right"/>
    </xf>
    <xf numFmtId="8" fontId="4" fillId="0" borderId="17" xfId="0" applyNumberFormat="1" applyFont="1" applyFill="1" applyBorder="1" applyAlignment="1">
      <alignment horizontal="right"/>
    </xf>
    <xf numFmtId="0" fontId="4" fillId="0" borderId="5" xfId="0" applyFont="1" applyBorder="1" applyAlignment="1"/>
    <xf numFmtId="44" fontId="4" fillId="6" borderId="10" xfId="6" applyFont="1" applyFill="1" applyBorder="1" applyAlignment="1"/>
    <xf numFmtId="44" fontId="4" fillId="0" borderId="10" xfId="6" applyFont="1" applyBorder="1" applyAlignment="1"/>
    <xf numFmtId="44" fontId="4" fillId="10" borderId="10" xfId="6" applyFont="1" applyFill="1" applyBorder="1" applyAlignment="1"/>
    <xf numFmtId="44" fontId="4" fillId="0" borderId="10" xfId="6" applyFont="1" applyFill="1" applyBorder="1" applyAlignment="1"/>
    <xf numFmtId="44" fontId="4" fillId="3" borderId="10" xfId="6" applyFont="1" applyFill="1" applyBorder="1" applyAlignment="1"/>
    <xf numFmtId="44" fontId="4" fillId="0" borderId="14" xfId="6" applyFont="1" applyBorder="1" applyAlignment="1">
      <alignment horizontal="right"/>
    </xf>
    <xf numFmtId="44" fontId="2" fillId="0" borderId="17" xfId="6" applyFont="1" applyBorder="1" applyAlignment="1"/>
    <xf numFmtId="44" fontId="2" fillId="0" borderId="12" xfId="6" applyFont="1" applyBorder="1" applyAlignment="1"/>
    <xf numFmtId="40" fontId="2" fillId="0" borderId="0" xfId="0" applyNumberFormat="1" applyFont="1" applyBorder="1" applyAlignment="1"/>
    <xf numFmtId="0" fontId="2" fillId="0" borderId="0" xfId="0" applyFont="1" applyFill="1"/>
    <xf numFmtId="3" fontId="81" fillId="5" borderId="14" xfId="20" quotePrefix="1" applyNumberFormat="1" applyFont="1" applyFill="1" applyBorder="1" applyAlignment="1" applyProtection="1">
      <alignment horizontal="center" wrapText="1"/>
    </xf>
    <xf numFmtId="3" fontId="81" fillId="5" borderId="15" xfId="20" quotePrefix="1" applyNumberFormat="1" applyFont="1" applyFill="1" applyBorder="1" applyAlignment="1" applyProtection="1">
      <alignment horizontal="center" wrapText="1"/>
    </xf>
    <xf numFmtId="3" fontId="81" fillId="5" borderId="14" xfId="20" applyNumberFormat="1" applyFont="1" applyFill="1" applyBorder="1" applyAlignment="1" applyProtection="1">
      <alignment horizontal="center" wrapText="1"/>
    </xf>
    <xf numFmtId="3" fontId="86" fillId="5" borderId="14" xfId="20" applyNumberFormat="1" applyFont="1" applyFill="1" applyBorder="1" applyAlignment="1" applyProtection="1">
      <alignment horizontal="center" wrapText="1"/>
    </xf>
    <xf numFmtId="0" fontId="4" fillId="0" borderId="7" xfId="0" applyFont="1" applyBorder="1" applyAlignment="1" applyProtection="1">
      <alignment horizontal="left"/>
    </xf>
    <xf numFmtId="3" fontId="4" fillId="0" borderId="9" xfId="0" applyNumberFormat="1" applyFont="1" applyBorder="1"/>
    <xf numFmtId="3" fontId="2" fillId="0" borderId="9" xfId="0" applyNumberFormat="1" applyFont="1" applyBorder="1"/>
    <xf numFmtId="3" fontId="87" fillId="33" borderId="10" xfId="0" applyNumberFormat="1" applyFont="1" applyFill="1" applyBorder="1"/>
    <xf numFmtId="3" fontId="87" fillId="20" borderId="9" xfId="0" applyNumberFormat="1" applyFont="1" applyFill="1" applyBorder="1"/>
    <xf numFmtId="9" fontId="87" fillId="20" borderId="9" xfId="18" applyFont="1" applyFill="1" applyBorder="1"/>
    <xf numFmtId="0" fontId="4" fillId="0" borderId="9" xfId="0" applyFont="1" applyBorder="1"/>
    <xf numFmtId="167" fontId="87" fillId="20" borderId="9" xfId="18" applyNumberFormat="1" applyFont="1" applyFill="1" applyBorder="1"/>
    <xf numFmtId="4" fontId="4" fillId="0" borderId="9" xfId="0" applyNumberFormat="1" applyFont="1" applyBorder="1"/>
    <xf numFmtId="0" fontId="4" fillId="0" borderId="7" xfId="0" applyFont="1" applyFill="1" applyBorder="1" applyAlignment="1" applyProtection="1">
      <alignment horizontal="left"/>
    </xf>
    <xf numFmtId="0" fontId="4" fillId="0" borderId="9" xfId="0" applyFont="1" applyFill="1" applyBorder="1"/>
    <xf numFmtId="8" fontId="4" fillId="0" borderId="9" xfId="6" applyNumberFormat="1" applyFont="1" applyFill="1" applyBorder="1"/>
    <xf numFmtId="8" fontId="2" fillId="0" borderId="9" xfId="6" applyNumberFormat="1" applyFont="1" applyFill="1" applyBorder="1"/>
    <xf numFmtId="8" fontId="87" fillId="33" borderId="10" xfId="6" applyNumberFormat="1" applyFont="1" applyFill="1" applyBorder="1"/>
    <xf numFmtId="8" fontId="87" fillId="20" borderId="9" xfId="6" applyNumberFormat="1" applyFont="1" applyFill="1" applyBorder="1"/>
    <xf numFmtId="0" fontId="2" fillId="0" borderId="7" xfId="0" applyFont="1" applyFill="1" applyBorder="1" applyAlignment="1" applyProtection="1">
      <alignment horizontal="left"/>
    </xf>
    <xf numFmtId="8" fontId="2" fillId="0" borderId="9" xfId="6" applyNumberFormat="1" applyFont="1" applyBorder="1"/>
    <xf numFmtId="8" fontId="4" fillId="0" borderId="9" xfId="6" applyNumberFormat="1" applyFont="1" applyBorder="1"/>
    <xf numFmtId="8" fontId="2" fillId="33" borderId="10" xfId="6" applyNumberFormat="1" applyFont="1" applyFill="1" applyBorder="1"/>
    <xf numFmtId="8" fontId="2" fillId="20" borderId="9" xfId="6" applyNumberFormat="1" applyFont="1" applyFill="1" applyBorder="1"/>
    <xf numFmtId="44" fontId="2" fillId="0" borderId="9" xfId="6" applyNumberFormat="1" applyFont="1" applyFill="1" applyBorder="1"/>
    <xf numFmtId="0" fontId="87" fillId="0" borderId="7" xfId="0" applyFont="1" applyBorder="1" applyAlignment="1" applyProtection="1">
      <alignment horizontal="left"/>
    </xf>
    <xf numFmtId="0" fontId="89" fillId="0" borderId="9" xfId="0" applyFont="1" applyBorder="1"/>
    <xf numFmtId="8" fontId="87" fillId="0" borderId="9" xfId="6" applyNumberFormat="1" applyFont="1" applyBorder="1" applyAlignment="1">
      <alignment horizontal="right"/>
    </xf>
    <xf numFmtId="8" fontId="87" fillId="0" borderId="9" xfId="6" applyNumberFormat="1" applyFont="1" applyFill="1" applyBorder="1" applyAlignment="1">
      <alignment horizontal="right"/>
    </xf>
    <xf numFmtId="0" fontId="2" fillId="0" borderId="5" xfId="0" applyFont="1" applyBorder="1" applyAlignment="1" applyProtection="1">
      <alignment horizontal="left"/>
    </xf>
    <xf numFmtId="0" fontId="4" fillId="0" borderId="6" xfId="0" applyFont="1" applyBorder="1"/>
    <xf numFmtId="164" fontId="2" fillId="0" borderId="9" xfId="0" applyNumberFormat="1" applyFont="1" applyBorder="1"/>
    <xf numFmtId="164" fontId="2" fillId="0" borderId="9" xfId="0" applyNumberFormat="1" applyFont="1" applyFill="1" applyBorder="1"/>
    <xf numFmtId="164" fontId="2" fillId="33" borderId="10" xfId="0" applyNumberFormat="1" applyFont="1" applyFill="1" applyBorder="1"/>
    <xf numFmtId="164" fontId="2" fillId="20" borderId="9" xfId="0" applyNumberFormat="1" applyFont="1" applyFill="1" applyBorder="1"/>
    <xf numFmtId="167" fontId="2" fillId="20" borderId="9" xfId="18" applyNumberFormat="1" applyFont="1" applyFill="1" applyBorder="1"/>
    <xf numFmtId="0" fontId="87" fillId="0" borderId="5" xfId="0" applyFont="1" applyBorder="1" applyAlignment="1" applyProtection="1">
      <alignment horizontal="left"/>
    </xf>
    <xf numFmtId="0" fontId="89" fillId="0" borderId="6" xfId="0" applyFont="1" applyBorder="1"/>
    <xf numFmtId="164" fontId="87" fillId="14" borderId="9" xfId="0" applyNumberFormat="1" applyFont="1" applyFill="1" applyBorder="1"/>
    <xf numFmtId="164" fontId="87" fillId="33" borderId="9" xfId="0" applyNumberFormat="1" applyFont="1" applyFill="1" applyBorder="1"/>
    <xf numFmtId="164" fontId="88" fillId="0" borderId="10" xfId="0" applyNumberFormat="1" applyFont="1" applyFill="1" applyBorder="1"/>
    <xf numFmtId="164" fontId="88" fillId="0" borderId="9" xfId="0" applyNumberFormat="1" applyFont="1" applyFill="1" applyBorder="1"/>
    <xf numFmtId="167" fontId="88" fillId="0" borderId="9" xfId="18" applyNumberFormat="1" applyFont="1" applyBorder="1"/>
    <xf numFmtId="0" fontId="84" fillId="0" borderId="5" xfId="0" applyFont="1" applyBorder="1" applyAlignment="1" applyProtection="1">
      <alignment horizontal="left"/>
    </xf>
    <xf numFmtId="164" fontId="84" fillId="14" borderId="9" xfId="0" applyNumberFormat="1" applyFont="1" applyFill="1" applyBorder="1"/>
    <xf numFmtId="164" fontId="84" fillId="0" borderId="9" xfId="0" applyNumberFormat="1" applyFont="1" applyFill="1" applyBorder="1"/>
    <xf numFmtId="164" fontId="90" fillId="0" borderId="10" xfId="0" applyNumberFormat="1" applyFont="1" applyFill="1" applyBorder="1"/>
    <xf numFmtId="164" fontId="90" fillId="0" borderId="9" xfId="0" applyNumberFormat="1" applyFont="1" applyFill="1" applyBorder="1"/>
    <xf numFmtId="167" fontId="90" fillId="0" borderId="9" xfId="18" applyNumberFormat="1" applyFont="1" applyBorder="1"/>
    <xf numFmtId="0" fontId="3" fillId="0" borderId="0" xfId="0" applyFont="1"/>
    <xf numFmtId="0" fontId="0" fillId="0" borderId="9" xfId="0" applyBorder="1"/>
    <xf numFmtId="0" fontId="0" fillId="0" borderId="10" xfId="0" applyBorder="1" applyAlignment="1">
      <alignment horizontal="right"/>
    </xf>
    <xf numFmtId="0" fontId="0" fillId="15" borderId="7" xfId="0" applyFill="1" applyBorder="1"/>
    <xf numFmtId="0" fontId="0" fillId="15" borderId="8" xfId="0" applyFill="1" applyBorder="1"/>
    <xf numFmtId="0" fontId="0" fillId="15" borderId="9" xfId="0" applyFill="1" applyBorder="1"/>
    <xf numFmtId="3" fontId="0" fillId="15" borderId="10" xfId="0" applyNumberFormat="1" applyFill="1" applyBorder="1"/>
    <xf numFmtId="1" fontId="0" fillId="15" borderId="10" xfId="0" applyNumberFormat="1" applyFill="1" applyBorder="1"/>
    <xf numFmtId="3" fontId="0" fillId="0" borderId="10" xfId="0" applyNumberFormat="1" applyBorder="1"/>
    <xf numFmtId="1" fontId="0" fillId="0" borderId="10" xfId="0" applyNumberFormat="1" applyBorder="1"/>
    <xf numFmtId="164" fontId="0" fillId="0" borderId="0" xfId="0" applyNumberFormat="1"/>
    <xf numFmtId="0" fontId="5" fillId="0" borderId="10" xfId="0" applyFont="1" applyBorder="1"/>
    <xf numFmtId="3" fontId="0" fillId="14" borderId="10" xfId="0" applyNumberFormat="1" applyFill="1" applyBorder="1"/>
    <xf numFmtId="164" fontId="0" fillId="14" borderId="10" xfId="0" applyNumberFormat="1" applyFill="1" applyBorder="1"/>
    <xf numFmtId="0" fontId="13" fillId="14" borderId="0" xfId="0" applyFont="1" applyFill="1"/>
    <xf numFmtId="0" fontId="2" fillId="21" borderId="10" xfId="0" applyFont="1" applyFill="1" applyBorder="1" applyAlignment="1">
      <alignment horizontal="center"/>
    </xf>
    <xf numFmtId="0" fontId="84" fillId="21" borderId="10" xfId="0" applyFont="1" applyFill="1" applyBorder="1" applyAlignment="1">
      <alignment horizontal="center"/>
    </xf>
    <xf numFmtId="8" fontId="4" fillId="21" borderId="10" xfId="0" applyNumberFormat="1" applyFont="1" applyFill="1" applyBorder="1" applyAlignment="1">
      <alignment horizontal="right"/>
    </xf>
    <xf numFmtId="38" fontId="4" fillId="21" borderId="14" xfId="0" applyNumberFormat="1" applyFont="1" applyFill="1" applyBorder="1" applyAlignment="1">
      <alignment horizontal="center"/>
    </xf>
    <xf numFmtId="8" fontId="4" fillId="21" borderId="2" xfId="0" applyNumberFormat="1" applyFont="1" applyFill="1" applyBorder="1" applyAlignment="1">
      <alignment horizontal="right"/>
    </xf>
    <xf numFmtId="8" fontId="4" fillId="21" borderId="17" xfId="0" applyNumberFormat="1" applyFont="1" applyFill="1" applyBorder="1" applyAlignment="1">
      <alignment horizontal="right"/>
    </xf>
    <xf numFmtId="0" fontId="4" fillId="21" borderId="12" xfId="0" applyFont="1" applyFill="1" applyBorder="1" applyAlignment="1"/>
    <xf numFmtId="0" fontId="4" fillId="21" borderId="12" xfId="0" applyFont="1" applyFill="1" applyBorder="1" applyAlignment="1">
      <alignment horizontal="left"/>
    </xf>
    <xf numFmtId="44" fontId="4" fillId="21" borderId="10" xfId="6" applyFont="1" applyFill="1" applyBorder="1" applyAlignment="1"/>
    <xf numFmtId="44" fontId="4" fillId="21" borderId="14" xfId="6" applyFont="1" applyFill="1" applyBorder="1" applyAlignment="1">
      <alignment horizontal="right"/>
    </xf>
    <xf numFmtId="44" fontId="2" fillId="21" borderId="17" xfId="6" applyFont="1" applyFill="1" applyBorder="1" applyAlignment="1"/>
    <xf numFmtId="44" fontId="2" fillId="21" borderId="12" xfId="6" applyFont="1" applyFill="1" applyBorder="1" applyAlignment="1"/>
    <xf numFmtId="44" fontId="4" fillId="0" borderId="0" xfId="6" applyFont="1" applyFill="1" applyBorder="1" applyAlignment="1"/>
    <xf numFmtId="44" fontId="2" fillId="0" borderId="0" xfId="6" applyFont="1" applyFill="1" applyBorder="1" applyAlignment="1"/>
    <xf numFmtId="8" fontId="91" fillId="14" borderId="10" xfId="0" applyNumberFormat="1" applyFont="1" applyFill="1" applyBorder="1" applyAlignment="1">
      <alignment horizontal="right"/>
    </xf>
    <xf numFmtId="8" fontId="92" fillId="14" borderId="10" xfId="0" applyNumberFormat="1" applyFont="1" applyFill="1" applyBorder="1" applyAlignment="1">
      <alignment horizontal="right"/>
    </xf>
    <xf numFmtId="0" fontId="4" fillId="0" borderId="10" xfId="20" applyFont="1" applyBorder="1" applyAlignment="1">
      <alignment horizontal="left"/>
    </xf>
    <xf numFmtId="8" fontId="4" fillId="13" borderId="10" xfId="0" applyNumberFormat="1" applyFont="1" applyFill="1" applyBorder="1" applyAlignment="1">
      <alignment horizontal="right"/>
    </xf>
    <xf numFmtId="2" fontId="50" fillId="20" borderId="17" xfId="12" applyNumberFormat="1" applyFont="1" applyFill="1" applyBorder="1" applyAlignment="1" applyProtection="1">
      <alignment horizontal="left" vertical="center"/>
    </xf>
    <xf numFmtId="3" fontId="77" fillId="0" borderId="0" xfId="12" applyNumberFormat="1" applyFont="1" applyProtection="1"/>
    <xf numFmtId="0" fontId="77" fillId="0" borderId="0" xfId="0" applyFont="1" applyFill="1" applyBorder="1"/>
    <xf numFmtId="0" fontId="95" fillId="0" borderId="0" xfId="0" applyFont="1" applyFill="1" applyBorder="1"/>
    <xf numFmtId="0" fontId="5" fillId="0" borderId="0" xfId="0" applyFont="1" applyFill="1" applyAlignment="1">
      <alignment horizontal="center" vertical="center"/>
    </xf>
    <xf numFmtId="0" fontId="6" fillId="0" borderId="12" xfId="0" applyFont="1" applyFill="1" applyBorder="1" applyAlignment="1">
      <alignment horizontal="center"/>
    </xf>
    <xf numFmtId="1" fontId="6" fillId="0" borderId="0" xfId="0" applyNumberFormat="1" applyFont="1" applyFill="1"/>
    <xf numFmtId="0" fontId="6" fillId="0" borderId="0" xfId="0" applyFont="1" applyFill="1"/>
    <xf numFmtId="3" fontId="5" fillId="0" borderId="0" xfId="0" applyNumberFormat="1" applyFont="1" applyFill="1"/>
    <xf numFmtId="3" fontId="10" fillId="0" borderId="0" xfId="0" applyNumberFormat="1" applyFont="1" applyFill="1"/>
    <xf numFmtId="0" fontId="9" fillId="0" borderId="0" xfId="0" applyFont="1" applyFill="1"/>
    <xf numFmtId="3" fontId="10" fillId="0" borderId="0" xfId="0" applyNumberFormat="1" applyFont="1" applyFill="1" applyBorder="1"/>
    <xf numFmtId="3" fontId="5" fillId="0" borderId="0" xfId="0" applyNumberFormat="1" applyFont="1" applyFill="1" applyBorder="1"/>
    <xf numFmtId="3" fontId="39" fillId="0" borderId="7" xfId="1" applyNumberFormat="1" applyFont="1" applyFill="1" applyBorder="1" applyAlignment="1">
      <alignment horizontal="right"/>
    </xf>
    <xf numFmtId="3" fontId="25" fillId="0" borderId="10" xfId="0" applyNumberFormat="1" applyFont="1" applyFill="1" applyBorder="1"/>
    <xf numFmtId="3" fontId="25" fillId="0" borderId="0" xfId="0" applyNumberFormat="1" applyFont="1" applyFill="1" applyBorder="1"/>
    <xf numFmtId="0" fontId="25" fillId="0" borderId="0" xfId="0" applyFont="1" applyFill="1"/>
    <xf numFmtId="3" fontId="9" fillId="0" borderId="0" xfId="0" applyNumberFormat="1" applyFont="1" applyFill="1"/>
    <xf numFmtId="2" fontId="5" fillId="0" borderId="0" xfId="0" applyNumberFormat="1" applyFont="1" applyFill="1"/>
    <xf numFmtId="2" fontId="6" fillId="0" borderId="0" xfId="0" applyNumberFormat="1" applyFont="1" applyFill="1"/>
    <xf numFmtId="4" fontId="5" fillId="0" borderId="0" xfId="0" applyNumberFormat="1" applyFont="1" applyFill="1"/>
    <xf numFmtId="0" fontId="0" fillId="0" borderId="0" xfId="0" applyFill="1" applyAlignment="1">
      <alignment vertical="center"/>
    </xf>
    <xf numFmtId="0" fontId="97" fillId="0" borderId="10" xfId="12" applyFont="1" applyFill="1" applyBorder="1" applyAlignment="1" applyProtection="1">
      <alignment horizontal="left"/>
    </xf>
    <xf numFmtId="0" fontId="97" fillId="0" borderId="10" xfId="12" applyFont="1" applyBorder="1" applyAlignment="1" applyProtection="1">
      <alignment horizontal="left"/>
    </xf>
    <xf numFmtId="0" fontId="97" fillId="0" borderId="10" xfId="20" applyFont="1" applyFill="1" applyBorder="1" applyAlignment="1" applyProtection="1">
      <alignment horizontal="left"/>
    </xf>
    <xf numFmtId="0" fontId="96" fillId="0" borderId="0" xfId="0" applyFont="1"/>
    <xf numFmtId="0" fontId="97" fillId="0" borderId="10" xfId="20" applyFont="1" applyBorder="1" applyAlignment="1">
      <alignment horizontal="left"/>
    </xf>
    <xf numFmtId="0" fontId="98" fillId="0" borderId="10" xfId="12" applyFont="1" applyFill="1" applyBorder="1" applyAlignment="1" applyProtection="1">
      <alignment horizontal="left"/>
    </xf>
    <xf numFmtId="0" fontId="97" fillId="0" borderId="0" xfId="0" applyFont="1" applyFill="1" applyBorder="1" applyProtection="1"/>
    <xf numFmtId="0" fontId="97" fillId="0" borderId="0" xfId="0" applyFont="1" applyProtection="1"/>
    <xf numFmtId="0" fontId="98" fillId="0" borderId="0" xfId="0" applyFont="1" applyFill="1" applyBorder="1" applyAlignment="1" applyProtection="1">
      <alignment vertical="center"/>
    </xf>
    <xf numFmtId="0" fontId="99" fillId="0" borderId="0" xfId="0" applyFont="1" applyFill="1" applyBorder="1" applyProtection="1"/>
    <xf numFmtId="167" fontId="100" fillId="0" borderId="0" xfId="16" applyNumberFormat="1" applyFont="1" applyProtection="1"/>
    <xf numFmtId="0" fontId="98" fillId="0" borderId="17" xfId="0" applyFont="1" applyFill="1" applyBorder="1" applyAlignment="1" applyProtection="1">
      <alignment horizontal="center" wrapText="1"/>
    </xf>
    <xf numFmtId="0" fontId="97" fillId="0" borderId="0" xfId="0" applyFont="1" applyAlignment="1" applyProtection="1">
      <alignment wrapText="1"/>
    </xf>
    <xf numFmtId="38" fontId="97" fillId="0" borderId="0" xfId="0" applyNumberFormat="1" applyFont="1" applyFill="1" applyBorder="1" applyAlignment="1" applyProtection="1"/>
    <xf numFmtId="38" fontId="97" fillId="0" borderId="12" xfId="0" applyNumberFormat="1" applyFont="1" applyFill="1" applyBorder="1" applyAlignment="1" applyProtection="1"/>
    <xf numFmtId="38" fontId="97" fillId="0" borderId="12" xfId="0" applyNumberFormat="1" applyFont="1" applyBorder="1" applyAlignment="1" applyProtection="1"/>
    <xf numFmtId="167" fontId="100" fillId="0" borderId="12" xfId="16" applyNumberFormat="1" applyFont="1" applyBorder="1" applyAlignment="1" applyProtection="1"/>
    <xf numFmtId="38" fontId="97" fillId="0" borderId="10" xfId="0" applyNumberFormat="1" applyFont="1" applyFill="1" applyBorder="1" applyAlignment="1" applyProtection="1"/>
    <xf numFmtId="9" fontId="99" fillId="0" borderId="0" xfId="16" applyFont="1" applyFill="1" applyBorder="1" applyProtection="1"/>
    <xf numFmtId="38" fontId="97" fillId="8" borderId="10" xfId="0" applyNumberFormat="1" applyFont="1" applyFill="1" applyBorder="1" applyAlignment="1" applyProtection="1"/>
    <xf numFmtId="167" fontId="100" fillId="0" borderId="12" xfId="16" applyNumberFormat="1" applyFont="1" applyFill="1" applyBorder="1" applyAlignment="1" applyProtection="1"/>
    <xf numFmtId="0" fontId="97" fillId="0" borderId="0" xfId="0" applyFont="1"/>
    <xf numFmtId="0" fontId="98" fillId="0" borderId="17" xfId="0" applyFont="1" applyFill="1" applyBorder="1" applyAlignment="1" applyProtection="1">
      <alignment horizontal="left" wrapText="1"/>
    </xf>
    <xf numFmtId="0" fontId="98" fillId="0" borderId="17" xfId="0" applyFont="1" applyBorder="1" applyAlignment="1" applyProtection="1">
      <alignment horizontal="left" wrapText="1"/>
    </xf>
    <xf numFmtId="0" fontId="103" fillId="27" borderId="10" xfId="0" applyFont="1" applyFill="1" applyBorder="1" applyAlignment="1" applyProtection="1">
      <alignment horizontal="left" vertical="center"/>
    </xf>
    <xf numFmtId="0" fontId="97" fillId="0" borderId="10" xfId="0" applyFont="1" applyBorder="1" applyAlignment="1" applyProtection="1">
      <alignment horizontal="left"/>
    </xf>
    <xf numFmtId="0" fontId="98" fillId="0" borderId="17" xfId="0" applyFont="1" applyFill="1" applyBorder="1" applyAlignment="1">
      <alignment horizontal="center"/>
    </xf>
    <xf numFmtId="0" fontId="98" fillId="0" borderId="16" xfId="0" applyFont="1" applyFill="1" applyBorder="1" applyAlignment="1">
      <alignment horizontal="center"/>
    </xf>
    <xf numFmtId="0" fontId="98" fillId="0" borderId="6" xfId="0" applyFont="1" applyFill="1" applyBorder="1" applyAlignment="1">
      <alignment horizontal="center"/>
    </xf>
    <xf numFmtId="0" fontId="98" fillId="0" borderId="12" xfId="0" applyFont="1" applyFill="1" applyBorder="1" applyAlignment="1">
      <alignment horizontal="center"/>
    </xf>
    <xf numFmtId="0" fontId="97" fillId="0" borderId="10" xfId="12" applyFont="1" applyBorder="1" applyAlignment="1">
      <alignment horizontal="left"/>
    </xf>
    <xf numFmtId="40" fontId="97" fillId="0" borderId="10" xfId="0" applyNumberFormat="1" applyFont="1" applyFill="1" applyBorder="1" applyAlignment="1"/>
    <xf numFmtId="40" fontId="97" fillId="0" borderId="10" xfId="0" applyNumberFormat="1" applyFont="1" applyBorder="1" applyAlignment="1"/>
    <xf numFmtId="0" fontId="97" fillId="0" borderId="10" xfId="12" applyFont="1" applyFill="1" applyBorder="1" applyAlignment="1">
      <alignment horizontal="left"/>
    </xf>
    <xf numFmtId="0" fontId="97" fillId="0" borderId="10" xfId="20" applyFont="1" applyFill="1" applyBorder="1" applyAlignment="1">
      <alignment horizontal="left"/>
    </xf>
    <xf numFmtId="0" fontId="98" fillId="0" borderId="17" xfId="0" applyFont="1" applyFill="1" applyBorder="1" applyAlignment="1">
      <alignment horizontal="left"/>
    </xf>
    <xf numFmtId="0" fontId="98" fillId="0" borderId="17" xfId="0" applyFont="1" applyBorder="1" applyAlignment="1">
      <alignment horizontal="left"/>
    </xf>
    <xf numFmtId="0" fontId="98" fillId="0" borderId="12" xfId="0" applyFont="1" applyBorder="1" applyAlignment="1">
      <alignment horizontal="left"/>
    </xf>
    <xf numFmtId="0" fontId="103" fillId="27" borderId="12" xfId="0" applyFont="1" applyFill="1" applyBorder="1" applyAlignment="1" applyProtection="1">
      <alignment horizontal="left" vertical="center"/>
    </xf>
    <xf numFmtId="0" fontId="98" fillId="0" borderId="10" xfId="0" applyFont="1" applyBorder="1" applyAlignment="1">
      <alignment horizontal="left"/>
    </xf>
    <xf numFmtId="40" fontId="98" fillId="0" borderId="10" xfId="0" applyNumberFormat="1" applyFont="1" applyBorder="1" applyAlignment="1"/>
    <xf numFmtId="0" fontId="103" fillId="27" borderId="10" xfId="0" applyFont="1" applyFill="1" applyBorder="1" applyAlignment="1" applyProtection="1">
      <alignment horizontal="left"/>
    </xf>
    <xf numFmtId="0" fontId="28" fillId="20" borderId="14" xfId="0" applyFont="1" applyFill="1" applyBorder="1" applyAlignment="1">
      <alignment wrapText="1"/>
    </xf>
    <xf numFmtId="0" fontId="93" fillId="0" borderId="0" xfId="0" applyFont="1" applyFill="1" applyBorder="1" applyAlignment="1" applyProtection="1">
      <alignment vertical="center" wrapText="1"/>
    </xf>
    <xf numFmtId="0" fontId="93" fillId="0" borderId="0" xfId="0" applyFont="1" applyFill="1" applyBorder="1" applyAlignment="1">
      <alignment vertical="center" wrapText="1"/>
    </xf>
    <xf numFmtId="0" fontId="105" fillId="0" borderId="0" xfId="0" applyFont="1" applyFill="1" applyBorder="1" applyAlignment="1">
      <alignment wrapText="1"/>
    </xf>
    <xf numFmtId="0" fontId="108" fillId="0" borderId="0" xfId="0" applyFont="1"/>
    <xf numFmtId="0" fontId="106" fillId="0" borderId="0" xfId="12" applyFont="1" applyFill="1" applyBorder="1" applyProtection="1"/>
    <xf numFmtId="0" fontId="110" fillId="26" borderId="28" xfId="0" applyFont="1" applyFill="1" applyBorder="1" applyAlignment="1" applyProtection="1">
      <alignment horizontal="left"/>
    </xf>
    <xf numFmtId="3" fontId="106" fillId="26" borderId="29" xfId="13" applyNumberFormat="1" applyFont="1" applyFill="1" applyBorder="1" applyAlignment="1" applyProtection="1">
      <alignment horizontal="right"/>
      <protection locked="0"/>
    </xf>
    <xf numFmtId="1" fontId="106" fillId="26" borderId="32" xfId="0" applyNumberFormat="1" applyFont="1" applyFill="1" applyBorder="1" applyAlignment="1" applyProtection="1">
      <alignment horizontal="right"/>
      <protection locked="0"/>
    </xf>
    <xf numFmtId="3" fontId="106" fillId="0" borderId="10" xfId="12" applyNumberFormat="1" applyFont="1" applyFill="1" applyBorder="1" applyProtection="1"/>
    <xf numFmtId="0" fontId="111" fillId="21" borderId="9" xfId="0" applyFont="1" applyFill="1" applyBorder="1" applyAlignment="1" applyProtection="1">
      <alignment horizontal="left" wrapText="1"/>
    </xf>
    <xf numFmtId="3" fontId="108" fillId="21" borderId="6" xfId="13" applyNumberFormat="1" applyFont="1" applyFill="1" applyBorder="1" applyAlignment="1" applyProtection="1">
      <alignment horizontal="right"/>
    </xf>
    <xf numFmtId="3" fontId="108" fillId="21" borderId="10" xfId="20" applyNumberFormat="1" applyFont="1" applyFill="1" applyBorder="1" applyProtection="1"/>
    <xf numFmtId="3" fontId="106" fillId="21" borderId="20" xfId="20" applyNumberFormat="1" applyFont="1" applyFill="1" applyBorder="1" applyProtection="1"/>
    <xf numFmtId="0" fontId="111" fillId="0" borderId="9" xfId="0" applyFont="1" applyFill="1" applyBorder="1" applyAlignment="1" applyProtection="1">
      <alignment horizontal="left" wrapText="1"/>
    </xf>
    <xf numFmtId="3" fontId="108" fillId="0" borderId="6" xfId="13" applyNumberFormat="1" applyFont="1" applyFill="1" applyBorder="1" applyAlignment="1" applyProtection="1">
      <alignment horizontal="right"/>
    </xf>
    <xf numFmtId="3" fontId="108" fillId="0" borderId="10" xfId="20" applyNumberFormat="1" applyFont="1" applyFill="1" applyBorder="1" applyProtection="1"/>
    <xf numFmtId="3" fontId="106" fillId="0" borderId="20" xfId="20" applyNumberFormat="1" applyFont="1" applyFill="1" applyBorder="1" applyProtection="1"/>
    <xf numFmtId="0" fontId="111" fillId="0" borderId="25" xfId="0" applyFont="1" applyFill="1" applyBorder="1" applyAlignment="1" applyProtection="1">
      <alignment horizontal="left" wrapText="1"/>
    </xf>
    <xf numFmtId="3" fontId="108" fillId="0" borderId="27" xfId="13" applyNumberFormat="1" applyFont="1" applyFill="1" applyBorder="1" applyAlignment="1" applyProtection="1">
      <alignment horizontal="right"/>
    </xf>
    <xf numFmtId="3" fontId="108" fillId="0" borderId="22" xfId="20" applyNumberFormat="1" applyFont="1" applyFill="1" applyBorder="1" applyProtection="1"/>
    <xf numFmtId="1" fontId="106" fillId="0" borderId="34" xfId="20" applyNumberFormat="1" applyFont="1" applyFill="1" applyBorder="1" applyAlignment="1" applyProtection="1">
      <alignment horizontal="right"/>
      <protection locked="0"/>
    </xf>
    <xf numFmtId="0" fontId="111" fillId="0" borderId="29" xfId="0" applyFont="1" applyFill="1" applyBorder="1" applyAlignment="1" applyProtection="1">
      <alignment horizontal="left"/>
    </xf>
    <xf numFmtId="3" fontId="108" fillId="0" borderId="29" xfId="13" applyNumberFormat="1" applyFont="1" applyFill="1" applyBorder="1" applyAlignment="1" applyProtection="1">
      <alignment horizontal="right"/>
    </xf>
    <xf numFmtId="3" fontId="108" fillId="0" borderId="28" xfId="12" applyNumberFormat="1" applyFont="1" applyFill="1" applyBorder="1" applyProtection="1"/>
    <xf numFmtId="3" fontId="106" fillId="0" borderId="36" xfId="12" applyNumberFormat="1" applyFont="1" applyFill="1" applyBorder="1" applyProtection="1"/>
    <xf numFmtId="3" fontId="106" fillId="0" borderId="12" xfId="12" applyNumberFormat="1" applyFont="1" applyFill="1" applyBorder="1" applyProtection="1"/>
    <xf numFmtId="0" fontId="111" fillId="0" borderId="9" xfId="0" applyFont="1" applyFill="1" applyBorder="1" applyAlignment="1" applyProtection="1">
      <alignment horizontal="left"/>
    </xf>
    <xf numFmtId="3" fontId="108" fillId="0" borderId="10" xfId="12" applyNumberFormat="1" applyFont="1" applyFill="1" applyBorder="1" applyProtection="1"/>
    <xf numFmtId="3" fontId="106" fillId="0" borderId="20" xfId="12" applyNumberFormat="1" applyFont="1" applyFill="1" applyBorder="1" applyProtection="1"/>
    <xf numFmtId="0" fontId="106" fillId="26" borderId="22" xfId="0" applyFont="1" applyFill="1" applyBorder="1" applyAlignment="1" applyProtection="1">
      <alignment horizontal="left"/>
    </xf>
    <xf numFmtId="3" fontId="106" fillId="26" borderId="27" xfId="13" applyNumberFormat="1" applyFont="1" applyFill="1" applyBorder="1" applyAlignment="1" applyProtection="1">
      <alignment horizontal="right"/>
      <protection locked="0"/>
    </xf>
    <xf numFmtId="3" fontId="106" fillId="26" borderId="27" xfId="13" applyNumberFormat="1" applyFont="1" applyFill="1" applyBorder="1" applyAlignment="1" applyProtection="1">
      <alignment horizontal="right"/>
    </xf>
    <xf numFmtId="3" fontId="106" fillId="26" borderId="37" xfId="13" applyNumberFormat="1" applyFont="1" applyFill="1" applyBorder="1" applyAlignment="1" applyProtection="1">
      <alignment horizontal="right"/>
      <protection locked="0"/>
    </xf>
    <xf numFmtId="0" fontId="106" fillId="21" borderId="25" xfId="0" applyFont="1" applyFill="1" applyBorder="1" applyAlignment="1" applyProtection="1">
      <alignment horizontal="left" wrapText="1"/>
    </xf>
    <xf numFmtId="3" fontId="106" fillId="21" borderId="27" xfId="13" applyNumberFormat="1" applyFont="1" applyFill="1" applyBorder="1" applyAlignment="1" applyProtection="1">
      <alignment horizontal="right"/>
      <protection locked="0"/>
    </xf>
    <xf numFmtId="3" fontId="106" fillId="21" borderId="27" xfId="13" applyNumberFormat="1" applyFont="1" applyFill="1" applyBorder="1" applyAlignment="1" applyProtection="1">
      <alignment horizontal="right"/>
    </xf>
    <xf numFmtId="3" fontId="106" fillId="21" borderId="37" xfId="13" applyNumberFormat="1" applyFont="1" applyFill="1" applyBorder="1" applyAlignment="1" applyProtection="1">
      <alignment horizontal="right"/>
      <protection locked="0"/>
    </xf>
    <xf numFmtId="3" fontId="108" fillId="0" borderId="29" xfId="13" applyNumberFormat="1" applyFont="1" applyFill="1" applyBorder="1" applyAlignment="1" applyProtection="1">
      <alignment horizontal="right"/>
      <protection locked="0"/>
    </xf>
    <xf numFmtId="3" fontId="108" fillId="0" borderId="6" xfId="13" applyNumberFormat="1" applyFont="1" applyFill="1" applyBorder="1" applyAlignment="1" applyProtection="1">
      <alignment horizontal="right"/>
      <protection locked="0"/>
    </xf>
    <xf numFmtId="3" fontId="106" fillId="22" borderId="9" xfId="0" applyNumberFormat="1" applyFont="1" applyFill="1" applyBorder="1"/>
    <xf numFmtId="0" fontId="108" fillId="19" borderId="3" xfId="0" applyFont="1" applyFill="1" applyBorder="1"/>
    <xf numFmtId="3" fontId="106" fillId="19" borderId="9" xfId="0" applyNumberFormat="1" applyFont="1" applyFill="1" applyBorder="1"/>
    <xf numFmtId="3" fontId="106" fillId="19" borderId="15" xfId="0" applyNumberFormat="1" applyFont="1" applyFill="1" applyBorder="1"/>
    <xf numFmtId="1" fontId="108" fillId="26" borderId="29" xfId="0" applyNumberFormat="1" applyFont="1" applyFill="1" applyBorder="1" applyAlignment="1" applyProtection="1">
      <alignment horizontal="right"/>
      <protection locked="0"/>
    </xf>
    <xf numFmtId="1" fontId="108" fillId="26" borderId="29" xfId="0" applyNumberFormat="1" applyFont="1" applyFill="1" applyBorder="1" applyAlignment="1" applyProtection="1">
      <alignment horizontal="right"/>
    </xf>
    <xf numFmtId="0" fontId="108" fillId="0" borderId="25" xfId="0" applyFont="1" applyFill="1" applyBorder="1" applyAlignment="1" applyProtection="1">
      <alignment horizontal="left"/>
    </xf>
    <xf numFmtId="1" fontId="108" fillId="0" borderId="25" xfId="13" applyNumberFormat="1" applyFont="1" applyFill="1" applyBorder="1" applyAlignment="1" applyProtection="1">
      <alignment horizontal="right"/>
    </xf>
    <xf numFmtId="1" fontId="106" fillId="0" borderId="34" xfId="20" applyNumberFormat="1" applyFont="1" applyFill="1" applyBorder="1" applyAlignment="1" applyProtection="1">
      <alignment horizontal="right"/>
    </xf>
    <xf numFmtId="3" fontId="106" fillId="20" borderId="10" xfId="12" applyNumberFormat="1" applyFont="1" applyFill="1" applyBorder="1" applyProtection="1"/>
    <xf numFmtId="0" fontId="113" fillId="17" borderId="9" xfId="0" applyFont="1" applyFill="1" applyBorder="1" applyAlignment="1" applyProtection="1">
      <alignment horizontal="left"/>
    </xf>
    <xf numFmtId="3" fontId="113" fillId="17" borderId="6" xfId="13" applyNumberFormat="1" applyFont="1" applyFill="1" applyBorder="1" applyAlignment="1" applyProtection="1">
      <alignment horizontal="right"/>
      <protection locked="0"/>
    </xf>
    <xf numFmtId="3" fontId="113" fillId="17" borderId="10" xfId="13" applyNumberFormat="1" applyFont="1" applyFill="1" applyBorder="1" applyAlignment="1" applyProtection="1">
      <alignment horizontal="right"/>
      <protection locked="0"/>
    </xf>
    <xf numFmtId="3" fontId="114" fillId="0" borderId="10" xfId="12" applyNumberFormat="1" applyFont="1" applyFill="1" applyBorder="1" applyProtection="1"/>
    <xf numFmtId="168" fontId="113" fillId="17" borderId="6" xfId="13" applyNumberFormat="1" applyFont="1" applyFill="1" applyBorder="1" applyAlignment="1" applyProtection="1">
      <alignment horizontal="right"/>
    </xf>
    <xf numFmtId="168" fontId="113" fillId="17" borderId="10" xfId="13" applyNumberFormat="1" applyFont="1" applyFill="1" applyBorder="1" applyAlignment="1" applyProtection="1">
      <alignment horizontal="right"/>
    </xf>
    <xf numFmtId="0" fontId="108" fillId="19" borderId="4" xfId="0" applyFont="1" applyFill="1" applyBorder="1"/>
    <xf numFmtId="0" fontId="106" fillId="26" borderId="28" xfId="0" applyFont="1" applyFill="1" applyBorder="1" applyAlignment="1" applyProtection="1">
      <alignment horizontal="left"/>
    </xf>
    <xf numFmtId="1" fontId="106" fillId="26" borderId="29" xfId="0" applyNumberFormat="1" applyFont="1" applyFill="1" applyBorder="1" applyAlignment="1" applyProtection="1">
      <alignment horizontal="right"/>
      <protection locked="0"/>
    </xf>
    <xf numFmtId="1" fontId="106" fillId="26" borderId="29" xfId="0" applyNumberFormat="1" applyFont="1" applyFill="1" applyBorder="1" applyAlignment="1" applyProtection="1">
      <alignment horizontal="right"/>
    </xf>
    <xf numFmtId="1" fontId="106" fillId="26" borderId="32" xfId="0" applyNumberFormat="1" applyFont="1" applyFill="1" applyBorder="1" applyAlignment="1" applyProtection="1">
      <alignment horizontal="right"/>
    </xf>
    <xf numFmtId="0" fontId="111" fillId="14" borderId="9" xfId="0" applyFont="1" applyFill="1" applyBorder="1" applyAlignment="1" applyProtection="1">
      <alignment horizontal="left"/>
    </xf>
    <xf numFmtId="3" fontId="108" fillId="14" borderId="6" xfId="13" applyNumberFormat="1" applyFont="1" applyFill="1" applyBorder="1" applyAlignment="1" applyProtection="1">
      <alignment horizontal="right"/>
      <protection locked="0"/>
    </xf>
    <xf numFmtId="3" fontId="106" fillId="14" borderId="20" xfId="12" applyNumberFormat="1" applyFont="1" applyFill="1" applyBorder="1" applyProtection="1"/>
    <xf numFmtId="3" fontId="113" fillId="17" borderId="10" xfId="13" applyNumberFormat="1" applyFont="1" applyFill="1" applyBorder="1" applyAlignment="1" applyProtection="1">
      <alignment horizontal="right"/>
    </xf>
    <xf numFmtId="168" fontId="113" fillId="17" borderId="6" xfId="13" applyNumberFormat="1" applyFont="1" applyFill="1" applyBorder="1" applyAlignment="1" applyProtection="1">
      <alignment horizontal="right"/>
      <protection locked="0"/>
    </xf>
    <xf numFmtId="168" fontId="113" fillId="17" borderId="10" xfId="13" applyNumberFormat="1" applyFont="1" applyFill="1" applyBorder="1" applyAlignment="1" applyProtection="1">
      <alignment horizontal="right"/>
      <protection locked="0"/>
    </xf>
    <xf numFmtId="0" fontId="108" fillId="19" borderId="7" xfId="0" applyFont="1" applyFill="1" applyBorder="1"/>
    <xf numFmtId="0" fontId="108" fillId="19" borderId="8" xfId="0" applyFont="1" applyFill="1" applyBorder="1"/>
    <xf numFmtId="0" fontId="107" fillId="16" borderId="10" xfId="0" applyFont="1" applyFill="1" applyBorder="1" applyAlignment="1" applyProtection="1">
      <alignment horizontal="left"/>
    </xf>
    <xf numFmtId="1" fontId="108" fillId="16" borderId="9" xfId="0" applyNumberFormat="1" applyFont="1" applyFill="1" applyBorder="1" applyAlignment="1" applyProtection="1">
      <alignment horizontal="right"/>
      <protection locked="0"/>
    </xf>
    <xf numFmtId="1" fontId="106" fillId="16" borderId="9" xfId="0" applyNumberFormat="1" applyFont="1" applyFill="1" applyBorder="1" applyAlignment="1" applyProtection="1">
      <alignment horizontal="right"/>
      <protection locked="0"/>
    </xf>
    <xf numFmtId="0" fontId="108" fillId="17" borderId="9" xfId="0" applyFont="1" applyFill="1" applyBorder="1" applyAlignment="1" applyProtection="1">
      <alignment horizontal="left"/>
    </xf>
    <xf numFmtId="1" fontId="108" fillId="14" borderId="9" xfId="13" applyNumberFormat="1" applyFont="1" applyFill="1" applyBorder="1" applyAlignment="1" applyProtection="1">
      <alignment horizontal="right"/>
      <protection locked="0"/>
    </xf>
    <xf numFmtId="3" fontId="106" fillId="14" borderId="10" xfId="12" applyNumberFormat="1" applyFont="1" applyFill="1" applyBorder="1" applyProtection="1"/>
    <xf numFmtId="0" fontId="108" fillId="17" borderId="25" xfId="0" applyFont="1" applyFill="1" applyBorder="1" applyAlignment="1" applyProtection="1">
      <alignment horizontal="left"/>
    </xf>
    <xf numFmtId="1" fontId="108" fillId="14" borderId="25" xfId="13" applyNumberFormat="1" applyFont="1" applyFill="1" applyBorder="1" applyAlignment="1" applyProtection="1">
      <alignment horizontal="right"/>
      <protection locked="0"/>
    </xf>
    <xf numFmtId="3" fontId="106" fillId="14" borderId="22" xfId="12" applyNumberFormat="1" applyFont="1" applyFill="1" applyBorder="1" applyProtection="1"/>
    <xf numFmtId="3" fontId="106" fillId="20" borderId="22" xfId="12" applyNumberFormat="1" applyFont="1" applyFill="1" applyBorder="1" applyProtection="1"/>
    <xf numFmtId="0" fontId="111" fillId="0" borderId="6" xfId="0" applyFont="1" applyFill="1" applyBorder="1" applyAlignment="1" applyProtection="1">
      <alignment horizontal="left"/>
    </xf>
    <xf numFmtId="3" fontId="106" fillId="14" borderId="12" xfId="12" applyNumberFormat="1" applyFont="1" applyFill="1" applyBorder="1" applyProtection="1"/>
    <xf numFmtId="0" fontId="106" fillId="16" borderId="10" xfId="0" applyFont="1" applyFill="1" applyBorder="1" applyAlignment="1" applyProtection="1">
      <alignment horizontal="left"/>
    </xf>
    <xf numFmtId="3" fontId="106" fillId="16" borderId="6" xfId="13" applyNumberFormat="1" applyFont="1" applyFill="1" applyBorder="1" applyAlignment="1" applyProtection="1">
      <alignment horizontal="right"/>
      <protection locked="0"/>
    </xf>
    <xf numFmtId="0" fontId="106" fillId="21" borderId="9" xfId="0" applyFont="1" applyFill="1" applyBorder="1" applyAlignment="1" applyProtection="1">
      <alignment horizontal="left" wrapText="1"/>
    </xf>
    <xf numFmtId="3" fontId="106" fillId="21" borderId="6" xfId="13" applyNumberFormat="1" applyFont="1" applyFill="1" applyBorder="1" applyAlignment="1" applyProtection="1">
      <alignment horizontal="right"/>
      <protection locked="0"/>
    </xf>
    <xf numFmtId="0" fontId="108" fillId="22" borderId="10" xfId="0" applyFont="1" applyFill="1" applyBorder="1"/>
    <xf numFmtId="0" fontId="108" fillId="22" borderId="8" xfId="0" applyFont="1" applyFill="1" applyBorder="1"/>
    <xf numFmtId="0" fontId="115" fillId="17" borderId="9" xfId="0" applyFont="1" applyFill="1" applyBorder="1" applyAlignment="1" applyProtection="1">
      <alignment horizontal="left"/>
    </xf>
    <xf numFmtId="3" fontId="115" fillId="17" borderId="6" xfId="13" applyNumberFormat="1" applyFont="1" applyFill="1" applyBorder="1" applyAlignment="1" applyProtection="1">
      <alignment horizontal="right"/>
      <protection locked="0"/>
    </xf>
    <xf numFmtId="168" fontId="115" fillId="17" borderId="6" xfId="13" applyNumberFormat="1" applyFont="1" applyFill="1" applyBorder="1" applyAlignment="1" applyProtection="1">
      <alignment horizontal="right"/>
      <protection locked="0"/>
    </xf>
    <xf numFmtId="0" fontId="106" fillId="26" borderId="29" xfId="0" applyFont="1" applyFill="1" applyBorder="1" applyAlignment="1" applyProtection="1">
      <alignment horizontal="left"/>
    </xf>
    <xf numFmtId="0" fontId="107" fillId="21" borderId="9" xfId="0" applyFont="1" applyFill="1" applyBorder="1" applyAlignment="1" applyProtection="1">
      <alignment horizontal="left" wrapText="1"/>
    </xf>
    <xf numFmtId="3" fontId="106" fillId="21" borderId="9" xfId="20" applyNumberFormat="1" applyFont="1" applyFill="1" applyBorder="1" applyAlignment="1" applyProtection="1">
      <alignment horizontal="right"/>
    </xf>
    <xf numFmtId="3" fontId="108" fillId="0" borderId="9" xfId="20" applyNumberFormat="1" applyFont="1" applyFill="1" applyBorder="1" applyAlignment="1" applyProtection="1">
      <alignment horizontal="right"/>
    </xf>
    <xf numFmtId="3" fontId="108" fillId="0" borderId="25" xfId="20" applyNumberFormat="1" applyFont="1" applyFill="1" applyBorder="1" applyAlignment="1" applyProtection="1">
      <alignment horizontal="right"/>
    </xf>
    <xf numFmtId="0" fontId="106" fillId="21" borderId="22" xfId="0" applyFont="1" applyFill="1" applyBorder="1" applyAlignment="1" applyProtection="1">
      <alignment horizontal="left"/>
    </xf>
    <xf numFmtId="0" fontId="107" fillId="20" borderId="10" xfId="0" applyFont="1" applyFill="1" applyBorder="1" applyAlignment="1">
      <alignment wrapText="1"/>
    </xf>
    <xf numFmtId="0" fontId="108" fillId="0" borderId="0" xfId="12" applyFont="1" applyFill="1" applyBorder="1" applyProtection="1"/>
    <xf numFmtId="0" fontId="108" fillId="0" borderId="0" xfId="0" applyFont="1" applyFill="1" applyBorder="1"/>
    <xf numFmtId="0" fontId="103" fillId="0" borderId="0" xfId="0" applyFont="1" applyFill="1" applyBorder="1" applyAlignment="1" applyProtection="1">
      <alignment horizontal="left"/>
    </xf>
    <xf numFmtId="0" fontId="107" fillId="0" borderId="0" xfId="0" applyFont="1" applyFill="1" applyBorder="1" applyAlignment="1">
      <alignment wrapText="1"/>
    </xf>
    <xf numFmtId="0" fontId="109" fillId="0" borderId="0" xfId="12" applyFont="1" applyFill="1" applyBorder="1" applyAlignment="1" applyProtection="1">
      <alignment wrapText="1"/>
    </xf>
    <xf numFmtId="2" fontId="108" fillId="0" borderId="0" xfId="12" applyNumberFormat="1" applyFont="1" applyFill="1" applyBorder="1" applyProtection="1"/>
    <xf numFmtId="0" fontId="115" fillId="0" borderId="0" xfId="12" applyFont="1" applyFill="1" applyBorder="1" applyProtection="1"/>
    <xf numFmtId="0" fontId="108" fillId="0" borderId="16" xfId="0" applyFont="1" applyBorder="1"/>
    <xf numFmtId="0" fontId="108" fillId="0" borderId="8" xfId="0" applyFont="1" applyBorder="1"/>
    <xf numFmtId="2" fontId="6" fillId="0" borderId="0" xfId="12" applyNumberFormat="1" applyFont="1" applyFill="1" applyProtection="1"/>
    <xf numFmtId="0" fontId="49" fillId="0" borderId="0" xfId="12" applyFont="1" applyFill="1" applyProtection="1"/>
    <xf numFmtId="0" fontId="5" fillId="27" borderId="18" xfId="0" applyFont="1" applyFill="1" applyBorder="1" applyAlignment="1">
      <alignment horizontal="center"/>
    </xf>
    <xf numFmtId="0" fontId="5" fillId="27" borderId="12" xfId="0" applyFont="1" applyFill="1" applyBorder="1" applyAlignment="1">
      <alignment horizontal="center"/>
    </xf>
    <xf numFmtId="0" fontId="3" fillId="27" borderId="10" xfId="0" applyFont="1" applyFill="1" applyBorder="1" applyAlignment="1">
      <alignment horizontal="left" vertical="center"/>
    </xf>
    <xf numFmtId="0" fontId="3" fillId="27" borderId="10" xfId="0" applyFont="1" applyFill="1" applyBorder="1" applyAlignment="1">
      <alignment horizontal="left"/>
    </xf>
    <xf numFmtId="0" fontId="94" fillId="0" borderId="0" xfId="0" applyFont="1" applyFill="1" applyBorder="1" applyAlignment="1" applyProtection="1">
      <alignment horizontal="center" vertical="center" wrapText="1"/>
    </xf>
    <xf numFmtId="43" fontId="97" fillId="0" borderId="0" xfId="1" applyFont="1"/>
    <xf numFmtId="0" fontId="117" fillId="0" borderId="0" xfId="0" applyFont="1" applyFill="1" applyBorder="1"/>
    <xf numFmtId="0" fontId="97" fillId="0" borderId="0" xfId="0" applyFont="1" applyFill="1"/>
    <xf numFmtId="43" fontId="97" fillId="0" borderId="10" xfId="1" applyFont="1" applyBorder="1" applyAlignment="1">
      <alignment horizontal="right"/>
    </xf>
    <xf numFmtId="43" fontId="97" fillId="0" borderId="10" xfId="1" applyFont="1" applyFill="1" applyBorder="1" applyAlignment="1">
      <alignment horizontal="right"/>
    </xf>
    <xf numFmtId="165" fontId="97" fillId="0" borderId="10" xfId="1" applyNumberFormat="1" applyFont="1" applyFill="1" applyBorder="1"/>
    <xf numFmtId="0" fontId="3" fillId="27" borderId="10" xfId="0" applyFont="1" applyFill="1" applyBorder="1" applyAlignment="1">
      <alignment horizontal="right" vertical="center"/>
    </xf>
    <xf numFmtId="0" fontId="97" fillId="0" borderId="3" xfId="0" applyFont="1" applyBorder="1" applyAlignment="1">
      <alignment horizontal="right"/>
    </xf>
    <xf numFmtId="0" fontId="97" fillId="0" borderId="8" xfId="0" applyFont="1" applyBorder="1" applyAlignment="1">
      <alignment horizontal="right"/>
    </xf>
    <xf numFmtId="43" fontId="97" fillId="0" borderId="9" xfId="1" applyFont="1" applyBorder="1" applyAlignment="1">
      <alignment horizontal="right"/>
    </xf>
    <xf numFmtId="0" fontId="97" fillId="0" borderId="2" xfId="0" applyFont="1" applyBorder="1" applyAlignment="1">
      <alignment horizontal="right"/>
    </xf>
    <xf numFmtId="0" fontId="97" fillId="0" borderId="1" xfId="0" applyFont="1" applyBorder="1" applyAlignment="1">
      <alignment horizontal="right"/>
    </xf>
    <xf numFmtId="0" fontId="97" fillId="0" borderId="5" xfId="0" applyFont="1" applyBorder="1" applyAlignment="1">
      <alignment horizontal="right"/>
    </xf>
    <xf numFmtId="0" fontId="97" fillId="0" borderId="2" xfId="0" applyFont="1" applyFill="1" applyBorder="1" applyAlignment="1">
      <alignment horizontal="right"/>
    </xf>
    <xf numFmtId="0" fontId="97" fillId="0" borderId="8" xfId="0" applyFont="1" applyFill="1" applyBorder="1" applyAlignment="1">
      <alignment horizontal="right"/>
    </xf>
    <xf numFmtId="0" fontId="97" fillId="0" borderId="0" xfId="0" applyFont="1" applyFill="1" applyAlignment="1">
      <alignment horizontal="right"/>
    </xf>
    <xf numFmtId="0" fontId="97" fillId="0" borderId="1" xfId="0" applyFont="1" applyFill="1" applyBorder="1" applyAlignment="1">
      <alignment horizontal="right"/>
    </xf>
    <xf numFmtId="0" fontId="97" fillId="0" borderId="0" xfId="0" applyFont="1" applyFill="1" applyBorder="1" applyAlignment="1">
      <alignment horizontal="right"/>
    </xf>
    <xf numFmtId="43" fontId="97" fillId="0" borderId="9" xfId="1" applyFont="1" applyFill="1" applyBorder="1" applyAlignment="1">
      <alignment horizontal="right"/>
    </xf>
    <xf numFmtId="0" fontId="97" fillId="0" borderId="0" xfId="0" applyFont="1" applyBorder="1" applyAlignment="1">
      <alignment horizontal="right"/>
    </xf>
    <xf numFmtId="0" fontId="97" fillId="0" borderId="3" xfId="0" applyFont="1" applyFill="1" applyBorder="1" applyAlignment="1">
      <alignment horizontal="right"/>
    </xf>
    <xf numFmtId="10" fontId="97" fillId="0" borderId="10" xfId="17" applyNumberFormat="1" applyFont="1" applyFill="1" applyBorder="1" applyAlignment="1">
      <alignment horizontal="right"/>
    </xf>
    <xf numFmtId="0" fontId="97" fillId="0" borderId="7" xfId="0" applyFont="1" applyBorder="1" applyAlignment="1">
      <alignment horizontal="right"/>
    </xf>
    <xf numFmtId="0" fontId="97" fillId="0" borderId="0" xfId="0" applyFont="1" applyAlignment="1">
      <alignment horizontal="right"/>
    </xf>
    <xf numFmtId="43" fontId="97" fillId="0" borderId="0" xfId="1" applyFont="1" applyAlignment="1">
      <alignment horizontal="right"/>
    </xf>
    <xf numFmtId="165" fontId="97" fillId="0" borderId="10" xfId="1" applyNumberFormat="1" applyFont="1" applyFill="1" applyBorder="1" applyAlignment="1">
      <alignment horizontal="right"/>
    </xf>
    <xf numFmtId="43" fontId="98" fillId="0" borderId="10" xfId="1" applyFont="1" applyFill="1" applyBorder="1" applyAlignment="1">
      <alignment horizontal="right"/>
    </xf>
    <xf numFmtId="10" fontId="98" fillId="0" borderId="10" xfId="17" applyNumberFormat="1" applyFont="1" applyFill="1" applyBorder="1" applyAlignment="1">
      <alignment horizontal="right"/>
    </xf>
    <xf numFmtId="0" fontId="21" fillId="2" borderId="21" xfId="0" applyFont="1" applyFill="1" applyBorder="1" applyAlignment="1">
      <alignment horizontal="right"/>
    </xf>
    <xf numFmtId="0" fontId="6" fillId="0" borderId="21" xfId="0" applyFont="1" applyBorder="1" applyAlignment="1">
      <alignment horizontal="right"/>
    </xf>
    <xf numFmtId="0" fontId="1" fillId="0" borderId="21" xfId="0" applyFont="1" applyBorder="1" applyAlignment="1">
      <alignment horizontal="right"/>
    </xf>
    <xf numFmtId="0" fontId="5" fillId="0" borderId="21" xfId="0" applyFont="1" applyBorder="1" applyAlignment="1">
      <alignment horizontal="right"/>
    </xf>
    <xf numFmtId="0" fontId="5" fillId="0" borderId="24" xfId="0" applyFont="1" applyBorder="1" applyAlignment="1">
      <alignment horizontal="right"/>
    </xf>
    <xf numFmtId="17" fontId="5" fillId="27" borderId="10" xfId="0" applyNumberFormat="1" applyFont="1" applyFill="1" applyBorder="1" applyAlignment="1">
      <alignment horizontal="center" vertical="center"/>
    </xf>
    <xf numFmtId="0" fontId="5" fillId="27" borderId="10" xfId="0" applyFont="1" applyFill="1" applyBorder="1" applyAlignment="1">
      <alignment horizontal="center" vertical="center"/>
    </xf>
    <xf numFmtId="17" fontId="5" fillId="27" borderId="9" xfId="0" applyNumberFormat="1" applyFont="1" applyFill="1" applyBorder="1" applyAlignment="1">
      <alignment horizontal="center" vertical="center"/>
    </xf>
    <xf numFmtId="43" fontId="98" fillId="27" borderId="10" xfId="1" applyFont="1" applyFill="1" applyBorder="1" applyAlignment="1">
      <alignment horizontal="right"/>
    </xf>
    <xf numFmtId="17" fontId="28" fillId="27" borderId="14" xfId="12" quotePrefix="1" applyNumberFormat="1" applyFont="1" applyFill="1" applyBorder="1" applyAlignment="1" applyProtection="1">
      <alignment horizontal="center" wrapText="1"/>
    </xf>
    <xf numFmtId="17" fontId="28" fillId="27" borderId="14" xfId="12" applyNumberFormat="1" applyFont="1" applyFill="1" applyBorder="1" applyAlignment="1" applyProtection="1">
      <alignment horizontal="center" wrapText="1"/>
    </xf>
    <xf numFmtId="17" fontId="107" fillId="27" borderId="14" xfId="12" quotePrefix="1" applyNumberFormat="1" applyFont="1" applyFill="1" applyBorder="1" applyAlignment="1" applyProtection="1">
      <alignment horizontal="center" wrapText="1"/>
    </xf>
    <xf numFmtId="17" fontId="107" fillId="27" borderId="14" xfId="12" applyNumberFormat="1" applyFont="1" applyFill="1" applyBorder="1" applyAlignment="1" applyProtection="1">
      <alignment horizontal="center" wrapText="1"/>
    </xf>
    <xf numFmtId="0" fontId="104" fillId="0" borderId="0" xfId="0" applyFont="1" applyFill="1" applyBorder="1" applyAlignment="1">
      <alignment vertical="center" wrapText="1"/>
    </xf>
    <xf numFmtId="0" fontId="98" fillId="20" borderId="14" xfId="0" applyFont="1" applyFill="1" applyBorder="1" applyAlignment="1">
      <alignment horizontal="center" wrapText="1"/>
    </xf>
    <xf numFmtId="0" fontId="98" fillId="0" borderId="0" xfId="0" applyFont="1" applyFill="1"/>
    <xf numFmtId="17" fontId="98" fillId="27" borderId="14" xfId="12" quotePrefix="1" applyNumberFormat="1" applyFont="1" applyFill="1" applyBorder="1" applyAlignment="1" applyProtection="1">
      <alignment horizontal="center" wrapText="1"/>
    </xf>
    <xf numFmtId="17" fontId="98" fillId="27" borderId="14" xfId="12" applyNumberFormat="1" applyFont="1" applyFill="1" applyBorder="1" applyAlignment="1" applyProtection="1">
      <alignment horizontal="center" wrapText="1"/>
    </xf>
    <xf numFmtId="0" fontId="101" fillId="0" borderId="0" xfId="12" applyFont="1" applyFill="1" applyAlignment="1" applyProtection="1">
      <alignment wrapText="1"/>
    </xf>
    <xf numFmtId="0" fontId="98" fillId="0" borderId="10" xfId="0" applyFont="1" applyFill="1" applyBorder="1" applyAlignment="1" applyProtection="1">
      <alignment horizontal="left"/>
    </xf>
    <xf numFmtId="3" fontId="98" fillId="0" borderId="6" xfId="13" applyNumberFormat="1" applyFont="1" applyFill="1" applyBorder="1" applyAlignment="1" applyProtection="1">
      <alignment horizontal="right"/>
    </xf>
    <xf numFmtId="3" fontId="97" fillId="0" borderId="10" xfId="12" applyNumberFormat="1" applyFont="1" applyFill="1" applyBorder="1" applyProtection="1"/>
    <xf numFmtId="1" fontId="98" fillId="0" borderId="9" xfId="0" applyNumberFormat="1" applyFont="1" applyFill="1" applyBorder="1" applyAlignment="1" applyProtection="1">
      <alignment horizontal="right"/>
      <protection locked="0"/>
    </xf>
    <xf numFmtId="3" fontId="98" fillId="0" borderId="10" xfId="12" applyNumberFormat="1" applyFont="1" applyFill="1" applyBorder="1" applyProtection="1"/>
    <xf numFmtId="0" fontId="97" fillId="0" borderId="0" xfId="12" applyFont="1" applyFill="1" applyProtection="1"/>
    <xf numFmtId="0" fontId="97" fillId="0" borderId="9" xfId="0" applyFont="1" applyFill="1" applyBorder="1" applyAlignment="1" applyProtection="1">
      <alignment horizontal="left" wrapText="1"/>
    </xf>
    <xf numFmtId="3" fontId="97" fillId="0" borderId="6" xfId="13" applyNumberFormat="1" applyFont="1" applyFill="1" applyBorder="1" applyAlignment="1" applyProtection="1">
      <alignment horizontal="right"/>
    </xf>
    <xf numFmtId="3" fontId="97" fillId="0" borderId="10" xfId="20" applyNumberFormat="1" applyFont="1" applyFill="1" applyBorder="1" applyProtection="1"/>
    <xf numFmtId="3" fontId="98" fillId="0" borderId="10" xfId="20" applyNumberFormat="1" applyFont="1" applyFill="1" applyBorder="1" applyProtection="1"/>
    <xf numFmtId="2" fontId="97" fillId="0" borderId="0" xfId="12" applyNumberFormat="1" applyFont="1" applyFill="1" applyProtection="1"/>
    <xf numFmtId="0" fontId="97" fillId="0" borderId="25" xfId="0" applyFont="1" applyFill="1" applyBorder="1" applyAlignment="1" applyProtection="1">
      <alignment horizontal="left" wrapText="1"/>
    </xf>
    <xf numFmtId="3" fontId="97" fillId="0" borderId="22" xfId="20" applyNumberFormat="1" applyFont="1" applyFill="1" applyBorder="1" applyProtection="1"/>
    <xf numFmtId="1" fontId="98" fillId="0" borderId="25" xfId="20" applyNumberFormat="1" applyFont="1" applyFill="1" applyBorder="1" applyAlignment="1" applyProtection="1">
      <alignment horizontal="right"/>
    </xf>
    <xf numFmtId="3" fontId="98" fillId="0" borderId="22" xfId="12" applyNumberFormat="1" applyFont="1" applyFill="1" applyBorder="1" applyProtection="1"/>
    <xf numFmtId="2" fontId="102" fillId="20" borderId="17" xfId="12" applyNumberFormat="1" applyFont="1" applyFill="1" applyBorder="1" applyAlignment="1" applyProtection="1"/>
    <xf numFmtId="0" fontId="98" fillId="0" borderId="12" xfId="0" applyFont="1" applyFill="1" applyBorder="1" applyAlignment="1" applyProtection="1">
      <alignment horizontal="left"/>
    </xf>
    <xf numFmtId="3" fontId="98" fillId="0" borderId="6" xfId="20" applyNumberFormat="1" applyFont="1" applyFill="1" applyBorder="1" applyAlignment="1" applyProtection="1">
      <alignment horizontal="right"/>
    </xf>
    <xf numFmtId="3" fontId="98" fillId="0" borderId="6" xfId="20" applyNumberFormat="1" applyFont="1" applyFill="1" applyBorder="1" applyAlignment="1" applyProtection="1">
      <alignment horizontal="right"/>
      <protection locked="0"/>
    </xf>
    <xf numFmtId="3" fontId="98" fillId="0" borderId="6" xfId="13" applyNumberFormat="1" applyFont="1" applyFill="1" applyBorder="1" applyAlignment="1" applyProtection="1">
      <alignment horizontal="right"/>
      <protection locked="0"/>
    </xf>
    <xf numFmtId="3" fontId="98" fillId="0" borderId="12" xfId="12" applyNumberFormat="1" applyFont="1" applyFill="1" applyBorder="1" applyProtection="1"/>
    <xf numFmtId="0" fontId="98" fillId="0" borderId="0" xfId="12" applyFont="1" applyFill="1" applyProtection="1"/>
    <xf numFmtId="2" fontId="102" fillId="20" borderId="14" xfId="12" applyNumberFormat="1" applyFont="1" applyFill="1" applyBorder="1" applyAlignment="1" applyProtection="1">
      <alignment vertical="center"/>
    </xf>
    <xf numFmtId="0" fontId="98" fillId="0" borderId="9" xfId="0" applyFont="1" applyFill="1" applyBorder="1" applyAlignment="1" applyProtection="1">
      <alignment horizontal="left" wrapText="1"/>
    </xf>
    <xf numFmtId="0" fontId="97" fillId="19" borderId="7" xfId="0" applyFont="1" applyFill="1" applyBorder="1"/>
    <xf numFmtId="0" fontId="97" fillId="19" borderId="8" xfId="0" applyFont="1" applyFill="1" applyBorder="1"/>
    <xf numFmtId="3" fontId="97" fillId="19" borderId="8" xfId="0" applyNumberFormat="1" applyFont="1" applyFill="1" applyBorder="1"/>
    <xf numFmtId="3" fontId="98" fillId="19" borderId="9" xfId="0" applyNumberFormat="1" applyFont="1" applyFill="1" applyBorder="1"/>
    <xf numFmtId="3" fontId="98" fillId="19" borderId="8" xfId="0" applyNumberFormat="1" applyFont="1" applyFill="1" applyBorder="1"/>
    <xf numFmtId="0" fontId="98" fillId="0" borderId="28" xfId="0" applyFont="1" applyFill="1" applyBorder="1" applyAlignment="1" applyProtection="1">
      <alignment horizontal="left"/>
    </xf>
    <xf numFmtId="1" fontId="98" fillId="0" borderId="29" xfId="0" applyNumberFormat="1" applyFont="1" applyFill="1" applyBorder="1" applyAlignment="1" applyProtection="1">
      <alignment horizontal="right"/>
      <protection locked="0"/>
    </xf>
    <xf numFmtId="3" fontId="97" fillId="0" borderId="28" xfId="12" applyNumberFormat="1" applyFont="1" applyFill="1" applyBorder="1" applyProtection="1"/>
    <xf numFmtId="1" fontId="98" fillId="0" borderId="32" xfId="0" applyNumberFormat="1" applyFont="1" applyFill="1" applyBorder="1" applyAlignment="1" applyProtection="1">
      <alignment horizontal="right"/>
      <protection locked="0"/>
    </xf>
    <xf numFmtId="0" fontId="97" fillId="0" borderId="25" xfId="0" applyFont="1" applyFill="1" applyBorder="1" applyAlignment="1" applyProtection="1">
      <alignment horizontal="left"/>
    </xf>
    <xf numFmtId="1" fontId="97" fillId="0" borderId="25" xfId="13" applyNumberFormat="1" applyFont="1" applyFill="1" applyBorder="1" applyAlignment="1" applyProtection="1">
      <alignment horizontal="right"/>
    </xf>
    <xf numFmtId="3" fontId="98" fillId="0" borderId="23" xfId="20" applyNumberFormat="1" applyFont="1" applyFill="1" applyBorder="1" applyProtection="1"/>
    <xf numFmtId="3" fontId="98" fillId="20" borderId="10" xfId="12" applyNumberFormat="1" applyFont="1" applyFill="1" applyBorder="1" applyProtection="1"/>
    <xf numFmtId="3" fontId="98" fillId="20" borderId="12" xfId="12" applyNumberFormat="1" applyFont="1" applyFill="1" applyBorder="1" applyProtection="1"/>
    <xf numFmtId="0" fontId="118" fillId="17" borderId="9" xfId="0" applyFont="1" applyFill="1" applyBorder="1" applyAlignment="1" applyProtection="1">
      <alignment horizontal="left"/>
    </xf>
    <xf numFmtId="3" fontId="118" fillId="17" borderId="6" xfId="13" applyNumberFormat="1" applyFont="1" applyFill="1" applyBorder="1" applyAlignment="1" applyProtection="1">
      <alignment horizontal="right"/>
      <protection locked="0"/>
    </xf>
    <xf numFmtId="3" fontId="118" fillId="17" borderId="6" xfId="13" applyNumberFormat="1" applyFont="1" applyFill="1" applyBorder="1" applyAlignment="1" applyProtection="1">
      <alignment horizontal="right"/>
    </xf>
    <xf numFmtId="3" fontId="118" fillId="17" borderId="10" xfId="13" applyNumberFormat="1" applyFont="1" applyFill="1" applyBorder="1" applyAlignment="1" applyProtection="1">
      <alignment horizontal="right"/>
      <protection locked="0"/>
    </xf>
    <xf numFmtId="0" fontId="119" fillId="0" borderId="0" xfId="12" applyFont="1" applyFill="1" applyProtection="1"/>
    <xf numFmtId="168" fontId="118" fillId="17" borderId="6" xfId="13" applyNumberFormat="1" applyFont="1" applyFill="1" applyBorder="1" applyAlignment="1" applyProtection="1">
      <alignment horizontal="right"/>
    </xf>
    <xf numFmtId="168" fontId="118" fillId="17" borderId="10" xfId="13" applyNumberFormat="1" applyFont="1" applyFill="1" applyBorder="1" applyAlignment="1" applyProtection="1">
      <alignment horizontal="right"/>
    </xf>
    <xf numFmtId="0" fontId="97" fillId="19" borderId="3" xfId="0" applyFont="1" applyFill="1" applyBorder="1"/>
    <xf numFmtId="0" fontId="97" fillId="19" borderId="4" xfId="0" applyFont="1" applyFill="1" applyBorder="1"/>
    <xf numFmtId="3" fontId="97" fillId="19" borderId="4" xfId="0" applyNumberFormat="1" applyFont="1" applyFill="1" applyBorder="1"/>
    <xf numFmtId="3" fontId="97" fillId="19" borderId="4" xfId="0" applyNumberFormat="1" applyFont="1" applyFill="1" applyBorder="1" applyProtection="1"/>
    <xf numFmtId="3" fontId="98" fillId="19" borderId="15" xfId="0" applyNumberFormat="1" applyFont="1" applyFill="1" applyBorder="1" applyProtection="1"/>
    <xf numFmtId="2" fontId="98" fillId="29" borderId="31" xfId="12" applyNumberFormat="1" applyFont="1" applyFill="1" applyBorder="1" applyAlignment="1" applyProtection="1">
      <alignment horizontal="center" vertical="center"/>
    </xf>
    <xf numFmtId="1" fontId="98" fillId="0" borderId="29" xfId="0" applyNumberFormat="1" applyFont="1" applyFill="1" applyBorder="1" applyAlignment="1" applyProtection="1">
      <alignment horizontal="right"/>
    </xf>
    <xf numFmtId="1" fontId="98" fillId="0" borderId="32" xfId="0" applyNumberFormat="1" applyFont="1" applyFill="1" applyBorder="1" applyAlignment="1" applyProtection="1">
      <alignment horizontal="right"/>
    </xf>
    <xf numFmtId="2" fontId="98" fillId="29" borderId="33" xfId="12" applyNumberFormat="1" applyFont="1" applyFill="1" applyBorder="1" applyAlignment="1" applyProtection="1">
      <alignment horizontal="center" vertical="center" wrapText="1"/>
    </xf>
    <xf numFmtId="3" fontId="120" fillId="0" borderId="10" xfId="12" applyNumberFormat="1" applyFont="1" applyFill="1" applyBorder="1" applyProtection="1"/>
    <xf numFmtId="3" fontId="98" fillId="19" borderId="15" xfId="0" applyNumberFormat="1" applyFont="1" applyFill="1" applyBorder="1"/>
    <xf numFmtId="2" fontId="98" fillId="15" borderId="31" xfId="12" applyNumberFormat="1" applyFont="1" applyFill="1" applyBorder="1" applyAlignment="1" applyProtection="1">
      <alignment horizontal="center" vertical="center"/>
    </xf>
    <xf numFmtId="2" fontId="98" fillId="15" borderId="33" xfId="12" applyNumberFormat="1" applyFont="1" applyFill="1" applyBorder="1" applyAlignment="1" applyProtection="1">
      <alignment horizontal="center" vertical="center" wrapText="1"/>
    </xf>
    <xf numFmtId="2" fontId="98" fillId="32" borderId="31" xfId="12" applyNumberFormat="1" applyFont="1" applyFill="1" applyBorder="1" applyAlignment="1" applyProtection="1">
      <alignment horizontal="center" vertical="center"/>
    </xf>
    <xf numFmtId="2" fontId="98" fillId="32" borderId="33" xfId="12" applyNumberFormat="1" applyFont="1" applyFill="1" applyBorder="1" applyAlignment="1" applyProtection="1">
      <alignment horizontal="center" vertical="center"/>
    </xf>
    <xf numFmtId="1" fontId="98" fillId="0" borderId="34" xfId="20" applyNumberFormat="1" applyFont="1" applyFill="1" applyBorder="1" applyAlignment="1" applyProtection="1">
      <alignment horizontal="right"/>
    </xf>
    <xf numFmtId="3" fontId="119" fillId="17" borderId="10" xfId="13" applyNumberFormat="1" applyFont="1" applyFill="1" applyBorder="1" applyAlignment="1" applyProtection="1">
      <alignment horizontal="right"/>
      <protection locked="0"/>
    </xf>
    <xf numFmtId="168" fontId="118" fillId="17" borderId="6" xfId="13" applyNumberFormat="1" applyFont="1" applyFill="1" applyBorder="1" applyAlignment="1" applyProtection="1">
      <alignment horizontal="right"/>
      <protection locked="0"/>
    </xf>
    <xf numFmtId="168" fontId="119" fillId="17" borderId="10" xfId="13" applyNumberFormat="1" applyFont="1" applyFill="1" applyBorder="1" applyAlignment="1" applyProtection="1">
      <alignment horizontal="right"/>
      <protection locked="0"/>
    </xf>
    <xf numFmtId="0" fontId="98" fillId="27" borderId="9" xfId="0" applyFont="1" applyFill="1" applyBorder="1" applyAlignment="1">
      <alignment horizontal="center"/>
    </xf>
    <xf numFmtId="0" fontId="98" fillId="27" borderId="10" xfId="0" applyFont="1" applyFill="1" applyBorder="1" applyAlignment="1">
      <alignment horizontal="center"/>
    </xf>
    <xf numFmtId="0" fontId="98" fillId="27" borderId="17" xfId="0" applyFont="1" applyFill="1" applyBorder="1" applyAlignment="1">
      <alignment horizontal="center"/>
    </xf>
    <xf numFmtId="0" fontId="98" fillId="0" borderId="4" xfId="0" applyFont="1" applyFill="1" applyBorder="1" applyAlignment="1" applyProtection="1">
      <alignment horizontal="center"/>
    </xf>
    <xf numFmtId="0" fontId="98" fillId="0" borderId="0" xfId="0" applyFont="1" applyFill="1" applyBorder="1" applyAlignment="1" applyProtection="1">
      <alignment horizontal="center"/>
    </xf>
    <xf numFmtId="0" fontId="98" fillId="0" borderId="0" xfId="0" applyFont="1" applyFill="1" applyBorder="1" applyAlignment="1" applyProtection="1">
      <alignment horizontal="center" wrapText="1"/>
    </xf>
    <xf numFmtId="0" fontId="98" fillId="7" borderId="17" xfId="0" applyFont="1" applyFill="1" applyBorder="1" applyAlignment="1" applyProtection="1">
      <alignment horizontal="center" wrapText="1"/>
    </xf>
    <xf numFmtId="0" fontId="98" fillId="27" borderId="7" xfId="0" applyFont="1" applyFill="1" applyBorder="1" applyAlignment="1" applyProtection="1">
      <alignment horizontal="center"/>
    </xf>
    <xf numFmtId="0" fontId="98" fillId="27" borderId="8" xfId="0" applyFont="1" applyFill="1" applyBorder="1" applyAlignment="1" applyProtection="1">
      <alignment horizontal="center"/>
    </xf>
    <xf numFmtId="0" fontId="98" fillId="27" borderId="9" xfId="0" applyFont="1" applyFill="1" applyBorder="1" applyAlignment="1" applyProtection="1">
      <alignment horizontal="center"/>
    </xf>
    <xf numFmtId="167" fontId="102" fillId="18" borderId="14" xfId="16" applyNumberFormat="1" applyFont="1" applyFill="1" applyBorder="1" applyAlignment="1" applyProtection="1">
      <alignment horizontal="center" wrapText="1"/>
    </xf>
    <xf numFmtId="167" fontId="102" fillId="18" borderId="17" xfId="16" applyNumberFormat="1" applyFont="1" applyFill="1" applyBorder="1" applyAlignment="1" applyProtection="1">
      <alignment horizontal="center" wrapText="1"/>
    </xf>
    <xf numFmtId="0" fontId="2" fillId="21" borderId="7" xfId="0" applyFont="1" applyFill="1" applyBorder="1" applyAlignment="1">
      <alignment horizontal="center"/>
    </xf>
    <xf numFmtId="0" fontId="2" fillId="21" borderId="8" xfId="0" applyFont="1" applyFill="1" applyBorder="1" applyAlignment="1">
      <alignment horizontal="center"/>
    </xf>
    <xf numFmtId="0" fontId="84" fillId="21" borderId="7" xfId="0" applyFont="1" applyFill="1" applyBorder="1" applyAlignment="1">
      <alignment horizontal="center"/>
    </xf>
    <xf numFmtId="0" fontId="84" fillId="21" borderId="8" xfId="0" applyFont="1" applyFill="1" applyBorder="1" applyAlignment="1">
      <alignment horizontal="center"/>
    </xf>
    <xf numFmtId="0" fontId="81" fillId="7" borderId="7" xfId="0" applyFont="1" applyFill="1" applyBorder="1" applyAlignment="1">
      <alignment horizontal="center"/>
    </xf>
    <xf numFmtId="0" fontId="81" fillId="7" borderId="8" xfId="0" applyFont="1" applyFill="1" applyBorder="1" applyAlignment="1">
      <alignment horizontal="center"/>
    </xf>
    <xf numFmtId="167" fontId="83" fillId="18" borderId="14" xfId="16" applyNumberFormat="1" applyFont="1" applyFill="1" applyBorder="1" applyAlignment="1">
      <alignment horizontal="center" wrapText="1"/>
    </xf>
    <xf numFmtId="167" fontId="83" fillId="18" borderId="17" xfId="16" applyNumberFormat="1" applyFont="1" applyFill="1" applyBorder="1" applyAlignment="1">
      <alignment horizontal="center" wrapText="1"/>
    </xf>
    <xf numFmtId="167" fontId="83" fillId="18" borderId="12" xfId="16" applyNumberFormat="1" applyFont="1" applyFill="1" applyBorder="1" applyAlignment="1">
      <alignment horizontal="center" wrapText="1"/>
    </xf>
    <xf numFmtId="0" fontId="2" fillId="6" borderId="7" xfId="0" applyFont="1" applyFill="1" applyBorder="1" applyAlignment="1">
      <alignment vertical="center" wrapText="1"/>
    </xf>
    <xf numFmtId="0" fontId="4" fillId="0" borderId="9" xfId="0" applyFont="1" applyBorder="1" applyAlignment="1">
      <alignment vertical="center" wrapText="1"/>
    </xf>
    <xf numFmtId="0" fontId="21" fillId="7" borderId="7" xfId="0" applyFont="1" applyFill="1" applyBorder="1" applyAlignment="1">
      <alignment horizontal="center"/>
    </xf>
    <xf numFmtId="0" fontId="21" fillId="7" borderId="8" xfId="0" applyFont="1" applyFill="1" applyBorder="1" applyAlignment="1">
      <alignment horizontal="center"/>
    </xf>
    <xf numFmtId="0" fontId="21" fillId="7" borderId="9" xfId="0" applyFont="1" applyFill="1" applyBorder="1" applyAlignment="1">
      <alignment horizontal="center"/>
    </xf>
    <xf numFmtId="0" fontId="1" fillId="29" borderId="14" xfId="12" applyFont="1" applyFill="1" applyBorder="1" applyAlignment="1">
      <alignment horizontal="center" vertical="center"/>
    </xf>
    <xf numFmtId="0" fontId="1" fillId="29" borderId="17" xfId="12" applyFont="1" applyFill="1" applyBorder="1" applyAlignment="1">
      <alignment horizontal="center" vertical="center"/>
    </xf>
    <xf numFmtId="0" fontId="1" fillId="29" borderId="12" xfId="12" applyFont="1" applyFill="1" applyBorder="1" applyAlignment="1">
      <alignment horizontal="center" vertical="center"/>
    </xf>
    <xf numFmtId="0" fontId="1" fillId="0" borderId="14" xfId="12" applyFont="1" applyFill="1" applyBorder="1" applyAlignment="1">
      <alignment horizontal="center" vertical="center" wrapText="1"/>
    </xf>
    <xf numFmtId="0" fontId="1" fillId="0" borderId="17" xfId="12" applyFont="1" applyFill="1" applyBorder="1" applyAlignment="1">
      <alignment horizontal="center" vertical="center" wrapText="1"/>
    </xf>
    <xf numFmtId="0" fontId="1" fillId="0" borderId="12" xfId="12" applyFont="1" applyFill="1" applyBorder="1" applyAlignment="1">
      <alignment horizontal="center" vertical="center" wrapText="1"/>
    </xf>
    <xf numFmtId="0" fontId="1" fillId="0" borderId="14" xfId="12" applyFont="1" applyFill="1" applyBorder="1" applyAlignment="1">
      <alignment horizontal="center" vertical="center"/>
    </xf>
    <xf numFmtId="0" fontId="1" fillId="0" borderId="17" xfId="12" applyFont="1" applyFill="1" applyBorder="1" applyAlignment="1">
      <alignment horizontal="center" vertical="center"/>
    </xf>
    <xf numFmtId="0" fontId="1" fillId="0" borderId="12" xfId="12" applyFont="1" applyFill="1" applyBorder="1" applyAlignment="1">
      <alignment horizontal="center" vertical="center"/>
    </xf>
    <xf numFmtId="0" fontId="28" fillId="33" borderId="7" xfId="0" applyFont="1" applyFill="1" applyBorder="1" applyAlignment="1">
      <alignment horizontal="left" vertical="center" wrapText="1"/>
    </xf>
    <xf numFmtId="0" fontId="28" fillId="33" borderId="9" xfId="0" applyFont="1" applyFill="1" applyBorder="1" applyAlignment="1">
      <alignment horizontal="left" vertical="center" wrapText="1"/>
    </xf>
    <xf numFmtId="0" fontId="1" fillId="0" borderId="14" xfId="12" applyFont="1" applyBorder="1" applyAlignment="1">
      <alignment horizontal="center" vertical="center"/>
    </xf>
    <xf numFmtId="0" fontId="1" fillId="0" borderId="17" xfId="12" applyFont="1" applyBorder="1" applyAlignment="1">
      <alignment horizontal="center" vertical="center"/>
    </xf>
    <xf numFmtId="0" fontId="1" fillId="0" borderId="12" xfId="12" applyFont="1" applyBorder="1" applyAlignment="1">
      <alignment horizontal="center" vertical="center"/>
    </xf>
    <xf numFmtId="0" fontId="1" fillId="17" borderId="14" xfId="12" applyFont="1" applyFill="1" applyBorder="1" applyAlignment="1">
      <alignment horizontal="center" vertical="center"/>
    </xf>
    <xf numFmtId="0" fontId="1" fillId="17" borderId="17" xfId="12" applyFont="1" applyFill="1" applyBorder="1" applyAlignment="1">
      <alignment horizontal="center" vertical="center"/>
    </xf>
    <xf numFmtId="0" fontId="1" fillId="17" borderId="12" xfId="12" applyFont="1" applyFill="1" applyBorder="1" applyAlignment="1">
      <alignment horizontal="center" vertical="center"/>
    </xf>
    <xf numFmtId="0" fontId="1" fillId="15" borderId="14" xfId="0" applyFont="1" applyFill="1" applyBorder="1" applyAlignment="1">
      <alignment horizontal="center" vertical="center"/>
    </xf>
    <xf numFmtId="0" fontId="1" fillId="15" borderId="17" xfId="0" applyFont="1" applyFill="1" applyBorder="1" applyAlignment="1">
      <alignment horizontal="center" vertical="center"/>
    </xf>
    <xf numFmtId="0" fontId="1" fillId="0" borderId="10" xfId="12" applyFont="1" applyBorder="1" applyAlignment="1">
      <alignment horizontal="center" vertical="center"/>
    </xf>
    <xf numFmtId="0" fontId="1" fillId="0" borderId="10" xfId="0" applyFont="1" applyBorder="1" applyAlignment="1">
      <alignment horizontal="center" vertical="center"/>
    </xf>
    <xf numFmtId="0" fontId="1" fillId="0" borderId="10" xfId="12" applyFont="1" applyFill="1" applyBorder="1" applyAlignment="1">
      <alignment horizontal="center" vertical="center"/>
    </xf>
    <xf numFmtId="0" fontId="28" fillId="6" borderId="10" xfId="0" applyFont="1" applyFill="1" applyBorder="1" applyAlignment="1">
      <alignment vertical="center" wrapText="1"/>
    </xf>
    <xf numFmtId="0" fontId="1" fillId="0" borderId="10" xfId="0" applyFont="1" applyBorder="1" applyAlignment="1">
      <alignment vertical="center" wrapText="1"/>
    </xf>
    <xf numFmtId="2" fontId="118" fillId="17" borderId="14" xfId="12" applyNumberFormat="1" applyFont="1" applyFill="1" applyBorder="1" applyAlignment="1" applyProtection="1">
      <alignment horizontal="center" vertical="center"/>
    </xf>
    <xf numFmtId="2" fontId="118" fillId="17" borderId="17" xfId="12" applyNumberFormat="1" applyFont="1" applyFill="1" applyBorder="1" applyAlignment="1" applyProtection="1">
      <alignment horizontal="center" vertical="center"/>
    </xf>
    <xf numFmtId="2" fontId="118" fillId="17" borderId="12" xfId="12" applyNumberFormat="1" applyFont="1" applyFill="1" applyBorder="1" applyAlignment="1" applyProtection="1">
      <alignment horizontal="center" vertical="center"/>
    </xf>
    <xf numFmtId="2" fontId="98" fillId="17" borderId="14" xfId="12" applyNumberFormat="1" applyFont="1" applyFill="1" applyBorder="1" applyAlignment="1" applyProtection="1">
      <alignment horizontal="center" vertical="center" wrapText="1"/>
    </xf>
    <xf numFmtId="2" fontId="98" fillId="17" borderId="17" xfId="12" applyNumberFormat="1" applyFont="1" applyFill="1" applyBorder="1" applyAlignment="1" applyProtection="1">
      <alignment horizontal="center" vertical="center" wrapText="1"/>
    </xf>
    <xf numFmtId="2" fontId="98" fillId="17" borderId="26" xfId="12" applyNumberFormat="1" applyFont="1" applyFill="1" applyBorder="1" applyAlignment="1" applyProtection="1">
      <alignment horizontal="center" vertical="center" wrapText="1"/>
    </xf>
    <xf numFmtId="2" fontId="102" fillId="20" borderId="14" xfId="12" applyNumberFormat="1" applyFont="1" applyFill="1" applyBorder="1" applyAlignment="1" applyProtection="1">
      <alignment horizontal="left" vertical="center"/>
    </xf>
    <xf numFmtId="2" fontId="102" fillId="20" borderId="17" xfId="12" applyNumberFormat="1" applyFont="1" applyFill="1" applyBorder="1" applyAlignment="1" applyProtection="1">
      <alignment horizontal="left" vertical="center"/>
    </xf>
    <xf numFmtId="2" fontId="102" fillId="20" borderId="12" xfId="12" applyNumberFormat="1" applyFont="1" applyFill="1" applyBorder="1" applyAlignment="1" applyProtection="1">
      <alignment horizontal="left" vertical="center"/>
    </xf>
    <xf numFmtId="2" fontId="98" fillId="28" borderId="31" xfId="12" applyNumberFormat="1" applyFont="1" applyFill="1" applyBorder="1" applyAlignment="1" applyProtection="1">
      <alignment horizontal="center" vertical="center"/>
    </xf>
    <xf numFmtId="2" fontId="98" fillId="28" borderId="33" xfId="12" applyNumberFormat="1" applyFont="1" applyFill="1" applyBorder="1" applyAlignment="1" applyProtection="1">
      <alignment horizontal="center" vertical="center"/>
    </xf>
    <xf numFmtId="0" fontId="15" fillId="13" borderId="2" xfId="0" applyFont="1" applyFill="1" applyBorder="1" applyAlignment="1">
      <alignment horizontal="center" vertical="center"/>
    </xf>
    <xf numFmtId="0" fontId="15" fillId="13" borderId="0" xfId="0" applyFont="1" applyFill="1" applyBorder="1" applyAlignment="1">
      <alignment horizontal="center" vertical="center"/>
    </xf>
    <xf numFmtId="0" fontId="71" fillId="0" borderId="0" xfId="20" applyFont="1" applyAlignment="1" applyProtection="1">
      <alignment horizontal="center"/>
    </xf>
    <xf numFmtId="0" fontId="60" fillId="0" borderId="39" xfId="20" applyFont="1" applyFill="1" applyBorder="1" applyAlignment="1" applyProtection="1"/>
    <xf numFmtId="0" fontId="0" fillId="0" borderId="0" xfId="0" applyAlignment="1"/>
    <xf numFmtId="0" fontId="0" fillId="0" borderId="39" xfId="0" applyBorder="1" applyAlignment="1"/>
    <xf numFmtId="0" fontId="65" fillId="19" borderId="0" xfId="20" applyFont="1" applyFill="1" applyBorder="1" applyAlignment="1" applyProtection="1">
      <alignment wrapText="1"/>
    </xf>
    <xf numFmtId="0" fontId="69" fillId="0" borderId="16" xfId="20" applyFont="1" applyBorder="1" applyAlignment="1" applyProtection="1">
      <alignment wrapText="1"/>
    </xf>
    <xf numFmtId="0" fontId="65" fillId="19" borderId="0" xfId="0" applyFont="1" applyFill="1" applyBorder="1" applyAlignment="1" applyProtection="1">
      <alignment wrapText="1"/>
    </xf>
    <xf numFmtId="0" fontId="0" fillId="0" borderId="16" xfId="0" applyBorder="1" applyAlignment="1" applyProtection="1">
      <alignment wrapText="1"/>
    </xf>
    <xf numFmtId="2" fontId="116" fillId="20" borderId="17" xfId="12" applyNumberFormat="1" applyFont="1" applyFill="1" applyBorder="1" applyAlignment="1" applyProtection="1">
      <alignment horizontal="center" vertical="center" wrapText="1"/>
    </xf>
    <xf numFmtId="2" fontId="116" fillId="20" borderId="12" xfId="12" applyNumberFormat="1" applyFont="1" applyFill="1" applyBorder="1" applyAlignment="1" applyProtection="1">
      <alignment horizontal="center" vertical="center" wrapText="1"/>
    </xf>
    <xf numFmtId="2" fontId="112" fillId="0" borderId="14" xfId="12" applyNumberFormat="1" applyFont="1" applyFill="1" applyBorder="1" applyAlignment="1" applyProtection="1">
      <alignment horizontal="center" vertical="center"/>
    </xf>
    <xf numFmtId="2" fontId="112" fillId="0" borderId="17" xfId="12" applyNumberFormat="1" applyFont="1" applyFill="1" applyBorder="1" applyAlignment="1" applyProtection="1">
      <alignment horizontal="center" vertical="center"/>
    </xf>
    <xf numFmtId="2" fontId="112" fillId="0" borderId="12" xfId="12" applyNumberFormat="1" applyFont="1" applyFill="1" applyBorder="1" applyAlignment="1" applyProtection="1">
      <alignment horizontal="center" vertical="center"/>
    </xf>
    <xf numFmtId="2" fontId="115" fillId="17" borderId="14" xfId="12" applyNumberFormat="1" applyFont="1" applyFill="1" applyBorder="1" applyAlignment="1" applyProtection="1">
      <alignment horizontal="center" vertical="center"/>
    </xf>
    <xf numFmtId="2" fontId="115" fillId="17" borderId="17" xfId="12" applyNumberFormat="1" applyFont="1" applyFill="1" applyBorder="1" applyAlignment="1" applyProtection="1">
      <alignment horizontal="center" vertical="center"/>
    </xf>
    <xf numFmtId="2" fontId="115" fillId="17" borderId="12" xfId="12" applyNumberFormat="1" applyFont="1" applyFill="1" applyBorder="1" applyAlignment="1" applyProtection="1">
      <alignment horizontal="center" vertical="center"/>
    </xf>
    <xf numFmtId="2" fontId="110" fillId="32" borderId="31" xfId="12" applyNumberFormat="1" applyFont="1" applyFill="1" applyBorder="1" applyAlignment="1" applyProtection="1">
      <alignment horizontal="center" vertical="center"/>
    </xf>
    <xf numFmtId="2" fontId="110" fillId="32" borderId="35" xfId="12" applyNumberFormat="1" applyFont="1" applyFill="1" applyBorder="1" applyAlignment="1" applyProtection="1">
      <alignment horizontal="center" vertical="center"/>
    </xf>
    <xf numFmtId="2" fontId="110" fillId="32" borderId="33" xfId="12" applyNumberFormat="1" applyFont="1" applyFill="1" applyBorder="1" applyAlignment="1" applyProtection="1">
      <alignment horizontal="center" vertical="center"/>
    </xf>
    <xf numFmtId="2" fontId="112" fillId="21" borderId="31" xfId="12" applyNumberFormat="1" applyFont="1" applyFill="1" applyBorder="1" applyAlignment="1" applyProtection="1">
      <alignment horizontal="center" vertical="center"/>
    </xf>
    <xf numFmtId="2" fontId="112" fillId="21" borderId="35" xfId="12" applyNumberFormat="1" applyFont="1" applyFill="1" applyBorder="1" applyAlignment="1" applyProtection="1">
      <alignment horizontal="center" vertical="center"/>
    </xf>
    <xf numFmtId="2" fontId="112" fillId="21" borderId="33" xfId="12" applyNumberFormat="1" applyFont="1" applyFill="1" applyBorder="1" applyAlignment="1" applyProtection="1">
      <alignment horizontal="center" vertical="center"/>
    </xf>
    <xf numFmtId="2" fontId="113" fillId="17" borderId="14" xfId="12" applyNumberFormat="1" applyFont="1" applyFill="1" applyBorder="1" applyAlignment="1" applyProtection="1">
      <alignment horizontal="center" vertical="center"/>
    </xf>
    <xf numFmtId="2" fontId="113" fillId="17" borderId="17" xfId="12" applyNumberFormat="1" applyFont="1" applyFill="1" applyBorder="1" applyAlignment="1" applyProtection="1">
      <alignment horizontal="center" vertical="center"/>
    </xf>
    <xf numFmtId="2" fontId="113" fillId="17" borderId="12" xfId="12" applyNumberFormat="1" applyFont="1" applyFill="1" applyBorder="1" applyAlignment="1" applyProtection="1">
      <alignment horizontal="center" vertical="center"/>
    </xf>
    <xf numFmtId="2" fontId="112" fillId="17" borderId="31" xfId="12" applyNumberFormat="1" applyFont="1" applyFill="1" applyBorder="1" applyAlignment="1" applyProtection="1">
      <alignment horizontal="center" vertical="center"/>
    </xf>
    <xf numFmtId="2" fontId="112" fillId="17" borderId="35" xfId="12" applyNumberFormat="1" applyFont="1" applyFill="1" applyBorder="1" applyAlignment="1" applyProtection="1">
      <alignment horizontal="center" vertical="center"/>
    </xf>
    <xf numFmtId="2" fontId="112" fillId="17" borderId="33" xfId="12" applyNumberFormat="1" applyFont="1" applyFill="1" applyBorder="1" applyAlignment="1" applyProtection="1">
      <alignment horizontal="center" vertical="center"/>
    </xf>
    <xf numFmtId="2" fontId="116" fillId="20" borderId="26" xfId="12" applyNumberFormat="1" applyFont="1" applyFill="1" applyBorder="1" applyAlignment="1" applyProtection="1">
      <alignment horizontal="center" vertical="center" wrapText="1"/>
    </xf>
    <xf numFmtId="2" fontId="112" fillId="20" borderId="18" xfId="12" applyNumberFormat="1" applyFont="1" applyFill="1" applyBorder="1" applyAlignment="1" applyProtection="1">
      <alignment horizontal="center" vertical="center"/>
    </xf>
    <xf numFmtId="2" fontId="112" fillId="20" borderId="17" xfId="12" applyNumberFormat="1" applyFont="1" applyFill="1" applyBorder="1" applyAlignment="1" applyProtection="1">
      <alignment horizontal="center" vertical="center"/>
    </xf>
    <xf numFmtId="2" fontId="110" fillId="12" borderId="14" xfId="12" applyNumberFormat="1" applyFont="1" applyFill="1" applyBorder="1" applyAlignment="1" applyProtection="1">
      <alignment horizontal="center" vertical="center"/>
    </xf>
    <xf numFmtId="2" fontId="110" fillId="12" borderId="17" xfId="12" applyNumberFormat="1" applyFont="1" applyFill="1" applyBorder="1" applyAlignment="1" applyProtection="1">
      <alignment horizontal="center" vertical="center"/>
    </xf>
    <xf numFmtId="2" fontId="110" fillId="12" borderId="26" xfId="12" applyNumberFormat="1" applyFont="1" applyFill="1" applyBorder="1" applyAlignment="1" applyProtection="1">
      <alignment horizontal="center" vertical="center"/>
    </xf>
    <xf numFmtId="2" fontId="112" fillId="20" borderId="26" xfId="12" applyNumberFormat="1" applyFont="1" applyFill="1" applyBorder="1" applyAlignment="1" applyProtection="1">
      <alignment horizontal="center" vertical="center"/>
    </xf>
    <xf numFmtId="2" fontId="112" fillId="20" borderId="31" xfId="12" applyNumberFormat="1" applyFont="1" applyFill="1" applyBorder="1" applyAlignment="1" applyProtection="1">
      <alignment horizontal="center" vertical="center"/>
    </xf>
    <xf numFmtId="2" fontId="112" fillId="20" borderId="35" xfId="12" applyNumberFormat="1" applyFont="1" applyFill="1" applyBorder="1" applyAlignment="1" applyProtection="1">
      <alignment horizontal="center" vertical="center"/>
    </xf>
    <xf numFmtId="2" fontId="112" fillId="20" borderId="33" xfId="12" applyNumberFormat="1" applyFont="1" applyFill="1" applyBorder="1" applyAlignment="1" applyProtection="1">
      <alignment horizontal="center" vertical="center"/>
    </xf>
    <xf numFmtId="2" fontId="110" fillId="29" borderId="31" xfId="12" applyNumberFormat="1" applyFont="1" applyFill="1" applyBorder="1" applyAlignment="1" applyProtection="1">
      <alignment horizontal="center" vertical="center"/>
    </xf>
    <xf numFmtId="2" fontId="110" fillId="29" borderId="33" xfId="12" applyNumberFormat="1" applyFont="1" applyFill="1" applyBorder="1" applyAlignment="1" applyProtection="1">
      <alignment horizontal="center" vertical="center"/>
    </xf>
    <xf numFmtId="2" fontId="110" fillId="28" borderId="31" xfId="12" applyNumberFormat="1" applyFont="1" applyFill="1" applyBorder="1" applyAlignment="1" applyProtection="1">
      <alignment horizontal="center" vertical="center"/>
    </xf>
    <xf numFmtId="2" fontId="110" fillId="28" borderId="33" xfId="12" applyNumberFormat="1" applyFont="1" applyFill="1" applyBorder="1" applyAlignment="1" applyProtection="1">
      <alignment horizontal="center" vertical="center"/>
    </xf>
    <xf numFmtId="2" fontId="112" fillId="20" borderId="31" xfId="12" applyNumberFormat="1" applyFont="1" applyFill="1" applyBorder="1" applyAlignment="1" applyProtection="1">
      <alignment horizontal="center" vertical="center" wrapText="1"/>
    </xf>
    <xf numFmtId="2" fontId="112" fillId="20" borderId="35" xfId="12" applyNumberFormat="1" applyFont="1" applyFill="1" applyBorder="1" applyAlignment="1" applyProtection="1">
      <alignment horizontal="center" vertical="center" wrapText="1"/>
    </xf>
    <xf numFmtId="2" fontId="112" fillId="20" borderId="33" xfId="12" applyNumberFormat="1" applyFont="1" applyFill="1" applyBorder="1" applyAlignment="1" applyProtection="1">
      <alignment horizontal="center" vertical="center" wrapText="1"/>
    </xf>
    <xf numFmtId="2" fontId="110" fillId="0" borderId="31" xfId="12" applyNumberFormat="1" applyFont="1" applyFill="1" applyBorder="1" applyAlignment="1" applyProtection="1">
      <alignment horizontal="center" vertical="center" wrapText="1"/>
    </xf>
    <xf numFmtId="2" fontId="110" fillId="0" borderId="35" xfId="12" applyNumberFormat="1" applyFont="1" applyFill="1" applyBorder="1" applyAlignment="1" applyProtection="1">
      <alignment horizontal="center" vertical="center" wrapText="1"/>
    </xf>
    <xf numFmtId="2" fontId="110" fillId="0" borderId="33" xfId="12" applyNumberFormat="1" applyFont="1" applyFill="1" applyBorder="1" applyAlignment="1" applyProtection="1">
      <alignment horizontal="center" vertical="center" wrapText="1"/>
    </xf>
    <xf numFmtId="0" fontId="15" fillId="13" borderId="10" xfId="0" applyFont="1" applyFill="1" applyBorder="1" applyAlignment="1">
      <alignment horizontal="center" vertical="center"/>
    </xf>
    <xf numFmtId="0" fontId="17" fillId="5" borderId="7" xfId="19" applyFont="1" applyFill="1" applyBorder="1" applyAlignment="1" applyProtection="1">
      <alignment horizontal="center" vertical="center" wrapText="1"/>
    </xf>
    <xf numFmtId="0" fontId="17" fillId="5" borderId="9" xfId="19" applyFont="1" applyFill="1" applyBorder="1" applyAlignment="1" applyProtection="1">
      <alignment horizontal="center" vertical="center" wrapText="1"/>
    </xf>
    <xf numFmtId="0" fontId="19" fillId="4" borderId="14" xfId="19" applyFont="1" applyFill="1" applyBorder="1" applyAlignment="1" applyProtection="1">
      <alignment horizontal="center" vertical="center" wrapText="1"/>
    </xf>
    <xf numFmtId="0" fontId="19" fillId="4" borderId="17" xfId="19" applyFont="1" applyFill="1" applyBorder="1" applyAlignment="1" applyProtection="1">
      <alignment horizontal="center" vertical="center" wrapText="1"/>
    </xf>
    <xf numFmtId="0" fontId="28" fillId="33" borderId="10" xfId="0" applyFont="1" applyFill="1" applyBorder="1" applyAlignment="1">
      <alignment horizontal="center" vertical="center" wrapText="1"/>
    </xf>
    <xf numFmtId="0" fontId="4" fillId="0" borderId="10" xfId="0" applyFont="1" applyBorder="1" applyAlignment="1">
      <alignment horizontal="center" vertical="center"/>
    </xf>
    <xf numFmtId="0" fontId="65" fillId="19" borderId="1" xfId="20" applyFont="1" applyFill="1" applyBorder="1" applyAlignment="1" applyProtection="1">
      <alignment wrapText="1"/>
    </xf>
    <xf numFmtId="0" fontId="65" fillId="19" borderId="6" xfId="20" applyFont="1" applyFill="1" applyBorder="1" applyAlignment="1" applyProtection="1">
      <alignment wrapText="1"/>
    </xf>
    <xf numFmtId="2" fontId="47" fillId="17" borderId="14" xfId="12" applyNumberFormat="1" applyFont="1" applyFill="1" applyBorder="1" applyAlignment="1" applyProtection="1">
      <alignment horizontal="center" vertical="center"/>
    </xf>
    <xf numFmtId="2" fontId="47" fillId="17" borderId="17" xfId="12" applyNumberFormat="1" applyFont="1" applyFill="1" applyBorder="1" applyAlignment="1" applyProtection="1">
      <alignment horizontal="center" vertical="center"/>
    </xf>
    <xf numFmtId="2" fontId="47" fillId="17" borderId="12" xfId="12" applyNumberFormat="1" applyFont="1" applyFill="1" applyBorder="1" applyAlignment="1" applyProtection="1">
      <alignment horizontal="center" vertical="center"/>
    </xf>
    <xf numFmtId="2" fontId="50" fillId="20" borderId="18" xfId="12" applyNumberFormat="1" applyFont="1" applyFill="1" applyBorder="1" applyAlignment="1" applyProtection="1">
      <alignment horizontal="left" vertical="center"/>
    </xf>
    <xf numFmtId="2" fontId="50" fillId="20" borderId="17" xfId="12" applyNumberFormat="1" applyFont="1" applyFill="1" applyBorder="1" applyAlignment="1" applyProtection="1">
      <alignment horizontal="left" vertical="center"/>
    </xf>
    <xf numFmtId="2" fontId="50" fillId="20" borderId="26" xfId="12" applyNumberFormat="1" applyFont="1" applyFill="1" applyBorder="1" applyAlignment="1" applyProtection="1">
      <alignment horizontal="left" vertical="center"/>
    </xf>
    <xf numFmtId="2" fontId="50" fillId="21" borderId="18" xfId="12" applyNumberFormat="1" applyFont="1" applyFill="1" applyBorder="1" applyAlignment="1" applyProtection="1">
      <alignment horizontal="left" vertical="center"/>
    </xf>
    <xf numFmtId="2" fontId="50" fillId="21" borderId="17" xfId="12" applyNumberFormat="1" applyFont="1" applyFill="1" applyBorder="1" applyAlignment="1" applyProtection="1">
      <alignment horizontal="left" vertical="center"/>
    </xf>
    <xf numFmtId="2" fontId="50" fillId="21" borderId="26" xfId="12" applyNumberFormat="1" applyFont="1" applyFill="1" applyBorder="1" applyAlignment="1" applyProtection="1">
      <alignment horizontal="left" vertical="center"/>
    </xf>
    <xf numFmtId="2" fontId="15" fillId="16" borderId="31" xfId="12" applyNumberFormat="1" applyFont="1" applyFill="1" applyBorder="1" applyAlignment="1" applyProtection="1">
      <alignment horizontal="center" vertical="center"/>
    </xf>
    <xf numFmtId="2" fontId="15" fillId="16" borderId="35" xfId="12" applyNumberFormat="1" applyFont="1" applyFill="1" applyBorder="1" applyAlignment="1" applyProtection="1">
      <alignment horizontal="center" vertical="center"/>
    </xf>
    <xf numFmtId="2" fontId="15" fillId="16" borderId="35" xfId="20" applyNumberFormat="1" applyFont="1" applyFill="1" applyBorder="1" applyAlignment="1" applyProtection="1">
      <alignment horizontal="center" vertical="center"/>
    </xf>
    <xf numFmtId="2" fontId="15" fillId="16" borderId="33" xfId="20" applyNumberFormat="1" applyFont="1" applyFill="1" applyBorder="1" applyAlignment="1" applyProtection="1">
      <alignment horizontal="center" vertical="center"/>
    </xf>
    <xf numFmtId="2" fontId="15" fillId="15" borderId="31" xfId="12" applyNumberFormat="1" applyFont="1" applyFill="1" applyBorder="1" applyAlignment="1" applyProtection="1">
      <alignment horizontal="center" vertical="center"/>
    </xf>
    <xf numFmtId="2" fontId="15" fillId="15" borderId="33" xfId="12" applyNumberFormat="1" applyFont="1" applyFill="1" applyBorder="1" applyAlignment="1" applyProtection="1">
      <alignment horizontal="center" vertical="center"/>
    </xf>
    <xf numFmtId="2" fontId="15" fillId="29" borderId="31" xfId="12" applyNumberFormat="1" applyFont="1" applyFill="1" applyBorder="1" applyAlignment="1" applyProtection="1">
      <alignment horizontal="center" vertical="center"/>
    </xf>
    <xf numFmtId="2" fontId="15" fillId="29" borderId="33" xfId="12" applyNumberFormat="1" applyFont="1" applyFill="1" applyBorder="1" applyAlignment="1" applyProtection="1">
      <alignment horizontal="center" vertical="center"/>
    </xf>
    <xf numFmtId="2" fontId="50" fillId="20" borderId="31" xfId="12" applyNumberFormat="1" applyFont="1" applyFill="1" applyBorder="1" applyAlignment="1" applyProtection="1">
      <alignment horizontal="left" vertical="center"/>
    </xf>
    <xf numFmtId="2" fontId="50" fillId="20" borderId="35" xfId="12" applyNumberFormat="1" applyFont="1" applyFill="1" applyBorder="1" applyAlignment="1" applyProtection="1">
      <alignment horizontal="left" vertical="center"/>
    </xf>
    <xf numFmtId="2" fontId="50" fillId="20" borderId="33" xfId="12" applyNumberFormat="1" applyFont="1" applyFill="1" applyBorder="1" applyAlignment="1" applyProtection="1">
      <alignment horizontal="left" vertical="center"/>
    </xf>
    <xf numFmtId="2" fontId="15" fillId="28" borderId="31" xfId="12" applyNumberFormat="1" applyFont="1" applyFill="1" applyBorder="1" applyAlignment="1" applyProtection="1">
      <alignment horizontal="center" vertical="center"/>
    </xf>
    <xf numFmtId="2" fontId="15" fillId="28" borderId="33" xfId="12" applyNumberFormat="1" applyFont="1" applyFill="1" applyBorder="1" applyAlignment="1" applyProtection="1">
      <alignment horizontal="center" vertical="center"/>
    </xf>
    <xf numFmtId="0" fontId="3" fillId="27" borderId="15" xfId="0" applyFont="1" applyFill="1" applyBorder="1" applyAlignment="1">
      <alignment horizontal="right"/>
    </xf>
    <xf numFmtId="0" fontId="3" fillId="27" borderId="6" xfId="0" applyFont="1" applyFill="1" applyBorder="1" applyAlignment="1">
      <alignment horizontal="right"/>
    </xf>
    <xf numFmtId="0" fontId="5" fillId="23" borderId="14" xfId="12" applyFont="1" applyFill="1" applyBorder="1" applyAlignment="1">
      <alignment horizontal="center" vertical="center"/>
    </xf>
    <xf numFmtId="0" fontId="5" fillId="23" borderId="17" xfId="12" applyFont="1" applyFill="1" applyBorder="1" applyAlignment="1">
      <alignment horizontal="center" vertical="center"/>
    </xf>
    <xf numFmtId="0" fontId="5" fillId="23" borderId="12" xfId="12" applyFont="1" applyFill="1" applyBorder="1" applyAlignment="1">
      <alignment horizontal="center" vertical="center"/>
    </xf>
    <xf numFmtId="0" fontId="5" fillId="23" borderId="7" xfId="12" applyFont="1" applyFill="1" applyBorder="1" applyAlignment="1">
      <alignment horizontal="center"/>
    </xf>
    <xf numFmtId="0" fontId="5" fillId="23" borderId="8" xfId="12" applyFont="1" applyFill="1" applyBorder="1" applyAlignment="1">
      <alignment horizontal="center"/>
    </xf>
    <xf numFmtId="0" fontId="5" fillId="23" borderId="9" xfId="12" applyFont="1" applyFill="1" applyBorder="1" applyAlignment="1">
      <alignment horizontal="center"/>
    </xf>
    <xf numFmtId="0" fontId="5" fillId="24" borderId="7" xfId="12" applyFont="1" applyFill="1" applyBorder="1" applyAlignment="1">
      <alignment horizontal="center"/>
    </xf>
    <xf numFmtId="0" fontId="5" fillId="24" borderId="8" xfId="12" applyFont="1" applyFill="1" applyBorder="1" applyAlignment="1">
      <alignment horizontal="center"/>
    </xf>
    <xf numFmtId="0" fontId="5" fillId="24" borderId="9" xfId="12" applyFont="1" applyFill="1" applyBorder="1" applyAlignment="1">
      <alignment horizontal="center"/>
    </xf>
    <xf numFmtId="0" fontId="6" fillId="0" borderId="14" xfId="12" applyBorder="1" applyAlignment="1">
      <alignment horizontal="center"/>
    </xf>
    <xf numFmtId="0" fontId="6" fillId="0" borderId="17" xfId="12" applyBorder="1" applyAlignment="1">
      <alignment horizontal="center"/>
    </xf>
    <xf numFmtId="0" fontId="6" fillId="0" borderId="12" xfId="12" applyBorder="1" applyAlignment="1">
      <alignment horizontal="center"/>
    </xf>
    <xf numFmtId="0" fontId="12" fillId="0" borderId="3" xfId="12" applyFont="1" applyBorder="1" applyAlignment="1">
      <alignment horizontal="center" vertical="center" wrapText="1"/>
    </xf>
    <xf numFmtId="0" fontId="12" fillId="0" borderId="4" xfId="12" applyFont="1" applyBorder="1" applyAlignment="1">
      <alignment horizontal="center" vertical="center" wrapText="1"/>
    </xf>
    <xf numFmtId="0" fontId="12" fillId="0" borderId="15" xfId="12" applyFont="1" applyBorder="1" applyAlignment="1">
      <alignment horizontal="center" vertical="center" wrapText="1"/>
    </xf>
    <xf numFmtId="0" fontId="12" fillId="0" borderId="2" xfId="12" applyFont="1" applyBorder="1" applyAlignment="1">
      <alignment horizontal="center" vertical="center" wrapText="1"/>
    </xf>
    <xf numFmtId="0" fontId="12" fillId="0" borderId="0" xfId="12" applyFont="1" applyBorder="1" applyAlignment="1">
      <alignment horizontal="center" vertical="center" wrapText="1"/>
    </xf>
    <xf numFmtId="0" fontId="12" fillId="0" borderId="16" xfId="12" applyFont="1" applyBorder="1" applyAlignment="1">
      <alignment horizontal="center" vertical="center" wrapText="1"/>
    </xf>
    <xf numFmtId="0" fontId="12" fillId="0" borderId="5" xfId="12" applyFont="1" applyBorder="1" applyAlignment="1">
      <alignment horizontal="center" vertical="center" wrapText="1"/>
    </xf>
    <xf numFmtId="0" fontId="12" fillId="0" borderId="1" xfId="12" applyFont="1" applyBorder="1" applyAlignment="1">
      <alignment horizontal="center" vertical="center" wrapText="1"/>
    </xf>
    <xf numFmtId="0" fontId="12" fillId="0" borderId="6" xfId="12" applyFont="1" applyBorder="1" applyAlignment="1">
      <alignment horizontal="center" vertical="center" wrapText="1"/>
    </xf>
    <xf numFmtId="0" fontId="12" fillId="0" borderId="10" xfId="12" applyFont="1" applyBorder="1" applyAlignment="1">
      <alignment horizontal="center" vertical="center" wrapText="1"/>
    </xf>
    <xf numFmtId="0" fontId="3" fillId="0" borderId="10" xfId="12" applyFont="1" applyBorder="1" applyAlignment="1">
      <alignment horizontal="center" vertical="center" wrapText="1"/>
    </xf>
    <xf numFmtId="0" fontId="5" fillId="0" borderId="7" xfId="0" applyFont="1" applyBorder="1" applyAlignment="1">
      <alignment horizontal="left"/>
    </xf>
    <xf numFmtId="0" fontId="5" fillId="0" borderId="9" xfId="0" applyFont="1" applyBorder="1" applyAlignment="1">
      <alignment horizontal="left"/>
    </xf>
  </cellXfs>
  <cellStyles count="21">
    <cellStyle name="Comma" xfId="1" builtinId="3"/>
    <cellStyle name="Comma 2" xfId="2"/>
    <cellStyle name="Comma 3" xfId="3"/>
    <cellStyle name="Comma 4" xfId="4"/>
    <cellStyle name="Comma 5" xfId="5"/>
    <cellStyle name="Currency" xfId="6" builtinId="4"/>
    <cellStyle name="Currency 2" xfId="7"/>
    <cellStyle name="Currency 3" xfId="8"/>
    <cellStyle name="Currency 4" xfId="9"/>
    <cellStyle name="Currency 5" xfId="10"/>
    <cellStyle name="Hyperlink 2" xfId="11"/>
    <cellStyle name="Normal" xfId="0" builtinId="0"/>
    <cellStyle name="Normal 2" xfId="12"/>
    <cellStyle name="Normal 2 2" xfId="13"/>
    <cellStyle name="Normal 2 2 2" xfId="20"/>
    <cellStyle name="Normal 2 3" xfId="19"/>
    <cellStyle name="Normal 3" xfId="14"/>
    <cellStyle name="Normal 4" xfId="15"/>
    <cellStyle name="Percent" xfId="16" builtinId="5"/>
    <cellStyle name="Percent 2" xfId="17"/>
    <cellStyle name="Percent 3" xfId="18"/>
  </cellStyles>
  <dxfs count="0"/>
  <tableStyles count="0" defaultTableStyle="TableStyleMedium9" defaultPivotStyle="PivotStyleLight16"/>
  <colors>
    <mruColors>
      <color rgb="FFFFCC00"/>
      <color rgb="FFFFFFCC"/>
      <color rgb="FFCCFFCC"/>
      <color rgb="FF0033CC"/>
      <color rgb="FFFFFF99"/>
      <color rgb="FFFFCC99"/>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541020</xdr:colOff>
      <xdr:row>2</xdr:row>
      <xdr:rowOff>45720</xdr:rowOff>
    </xdr:from>
    <xdr:to>
      <xdr:col>0</xdr:col>
      <xdr:colOff>1729740</xdr:colOff>
      <xdr:row>9</xdr:row>
      <xdr:rowOff>68580</xdr:rowOff>
    </xdr:to>
    <xdr:pic>
      <xdr:nvPicPr>
        <xdr:cNvPr id="713788" name="Picture 12" descr="mountain-mobility_BW-2011-ne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 y="457200"/>
          <a:ext cx="1188720" cy="1173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sheville%20pricing%201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l"/>
      <sheetName val="Hours"/>
      <sheetName val="Driver"/>
      <sheetName val="Staff"/>
      <sheetName val="Fringe"/>
      <sheetName val="Expenses"/>
      <sheetName val="Capital"/>
      <sheetName val="Fleet"/>
      <sheetName val="Start"/>
      <sheetName val="Finance"/>
      <sheetName val="Price"/>
      <sheetName val="Price Sheet 2 -Budget Narrative"/>
      <sheetName val="Price Sheet 3 -Budget Attachmen"/>
      <sheetName val="Prebid Questions"/>
      <sheetName val="Sheet12"/>
      <sheetName val="Sheet13"/>
      <sheetName val="Sheet14"/>
      <sheetName val="Depreciation"/>
      <sheetName val="Tables"/>
      <sheetName val="Program Notes"/>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customProperty" Target="../customProperty56.bin"/><Relationship Id="rId7" Type="http://schemas.openxmlformats.org/officeDocument/2006/relationships/customProperty" Target="../customProperty60.bin"/><Relationship Id="rId2" Type="http://schemas.openxmlformats.org/officeDocument/2006/relationships/customProperty" Target="../customProperty55.bin"/><Relationship Id="rId1" Type="http://schemas.openxmlformats.org/officeDocument/2006/relationships/printerSettings" Target="../printerSettings/printerSettings10.bin"/><Relationship Id="rId6" Type="http://schemas.openxmlformats.org/officeDocument/2006/relationships/customProperty" Target="../customProperty59.bin"/><Relationship Id="rId5" Type="http://schemas.openxmlformats.org/officeDocument/2006/relationships/customProperty" Target="../customProperty58.bin"/><Relationship Id="rId4" Type="http://schemas.openxmlformats.org/officeDocument/2006/relationships/customProperty" Target="../customProperty57.bin"/><Relationship Id="rId9"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62.bin"/><Relationship Id="rId2" Type="http://schemas.openxmlformats.org/officeDocument/2006/relationships/customProperty" Target="../customProperty61.bin"/><Relationship Id="rId1" Type="http://schemas.openxmlformats.org/officeDocument/2006/relationships/printerSettings" Target="../printerSettings/printerSettings11.bin"/><Relationship Id="rId6" Type="http://schemas.openxmlformats.org/officeDocument/2006/relationships/customProperty" Target="../customProperty65.bin"/><Relationship Id="rId5" Type="http://schemas.openxmlformats.org/officeDocument/2006/relationships/customProperty" Target="../customProperty64.bin"/><Relationship Id="rId4" Type="http://schemas.openxmlformats.org/officeDocument/2006/relationships/customProperty" Target="../customProperty6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67.bin"/><Relationship Id="rId7" Type="http://schemas.openxmlformats.org/officeDocument/2006/relationships/customProperty" Target="../customProperty71.bin"/><Relationship Id="rId2" Type="http://schemas.openxmlformats.org/officeDocument/2006/relationships/customProperty" Target="../customProperty66.bin"/><Relationship Id="rId1" Type="http://schemas.openxmlformats.org/officeDocument/2006/relationships/printerSettings" Target="../printerSettings/printerSettings13.bin"/><Relationship Id="rId6" Type="http://schemas.openxmlformats.org/officeDocument/2006/relationships/customProperty" Target="../customProperty70.bin"/><Relationship Id="rId5" Type="http://schemas.openxmlformats.org/officeDocument/2006/relationships/customProperty" Target="../customProperty69.bin"/><Relationship Id="rId4" Type="http://schemas.openxmlformats.org/officeDocument/2006/relationships/customProperty" Target="../customProperty68.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73.bin"/><Relationship Id="rId7" Type="http://schemas.openxmlformats.org/officeDocument/2006/relationships/customProperty" Target="../customProperty77.bin"/><Relationship Id="rId2" Type="http://schemas.openxmlformats.org/officeDocument/2006/relationships/customProperty" Target="../customProperty72.bin"/><Relationship Id="rId1" Type="http://schemas.openxmlformats.org/officeDocument/2006/relationships/printerSettings" Target="../printerSettings/printerSettings14.bin"/><Relationship Id="rId6" Type="http://schemas.openxmlformats.org/officeDocument/2006/relationships/customProperty" Target="../customProperty76.bin"/><Relationship Id="rId5" Type="http://schemas.openxmlformats.org/officeDocument/2006/relationships/customProperty" Target="../customProperty75.bin"/><Relationship Id="rId4" Type="http://schemas.openxmlformats.org/officeDocument/2006/relationships/customProperty" Target="../customProperty7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79.bin"/><Relationship Id="rId7" Type="http://schemas.openxmlformats.org/officeDocument/2006/relationships/customProperty" Target="../customProperty83.bin"/><Relationship Id="rId2" Type="http://schemas.openxmlformats.org/officeDocument/2006/relationships/customProperty" Target="../customProperty78.bin"/><Relationship Id="rId1" Type="http://schemas.openxmlformats.org/officeDocument/2006/relationships/printerSettings" Target="../printerSettings/printerSettings15.bin"/><Relationship Id="rId6" Type="http://schemas.openxmlformats.org/officeDocument/2006/relationships/customProperty" Target="../customProperty82.bin"/><Relationship Id="rId5" Type="http://schemas.openxmlformats.org/officeDocument/2006/relationships/customProperty" Target="../customProperty81.bin"/><Relationship Id="rId4" Type="http://schemas.openxmlformats.org/officeDocument/2006/relationships/customProperty" Target="../customProperty80.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85.bin"/><Relationship Id="rId7" Type="http://schemas.openxmlformats.org/officeDocument/2006/relationships/customProperty" Target="../customProperty89.bin"/><Relationship Id="rId2" Type="http://schemas.openxmlformats.org/officeDocument/2006/relationships/customProperty" Target="../customProperty84.bin"/><Relationship Id="rId1" Type="http://schemas.openxmlformats.org/officeDocument/2006/relationships/printerSettings" Target="../printerSettings/printerSettings16.bin"/><Relationship Id="rId6" Type="http://schemas.openxmlformats.org/officeDocument/2006/relationships/customProperty" Target="../customProperty88.bin"/><Relationship Id="rId5" Type="http://schemas.openxmlformats.org/officeDocument/2006/relationships/customProperty" Target="../customProperty87.bin"/><Relationship Id="rId4" Type="http://schemas.openxmlformats.org/officeDocument/2006/relationships/customProperty" Target="../customProperty8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91.bin"/><Relationship Id="rId7" Type="http://schemas.openxmlformats.org/officeDocument/2006/relationships/comments" Target="../comments7.xml"/><Relationship Id="rId2" Type="http://schemas.openxmlformats.org/officeDocument/2006/relationships/customProperty" Target="../customProperty90.bin"/><Relationship Id="rId1" Type="http://schemas.openxmlformats.org/officeDocument/2006/relationships/printerSettings" Target="../printerSettings/printerSettings17.bin"/><Relationship Id="rId6" Type="http://schemas.openxmlformats.org/officeDocument/2006/relationships/vmlDrawing" Target="../drawings/vmlDrawing7.vml"/><Relationship Id="rId5" Type="http://schemas.openxmlformats.org/officeDocument/2006/relationships/customProperty" Target="../customProperty93.bin"/><Relationship Id="rId4" Type="http://schemas.openxmlformats.org/officeDocument/2006/relationships/customProperty" Target="../customProperty92.bin"/></Relationships>
</file>

<file path=xl/worksheets/_rels/sheet18.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95.bin"/><Relationship Id="rId7" Type="http://schemas.openxmlformats.org/officeDocument/2006/relationships/customProperty" Target="../customProperty99.bin"/><Relationship Id="rId2" Type="http://schemas.openxmlformats.org/officeDocument/2006/relationships/customProperty" Target="../customProperty94.bin"/><Relationship Id="rId1" Type="http://schemas.openxmlformats.org/officeDocument/2006/relationships/printerSettings" Target="../printerSettings/printerSettings18.bin"/><Relationship Id="rId6" Type="http://schemas.openxmlformats.org/officeDocument/2006/relationships/customProperty" Target="../customProperty98.bin"/><Relationship Id="rId5" Type="http://schemas.openxmlformats.org/officeDocument/2006/relationships/customProperty" Target="../customProperty97.bin"/><Relationship Id="rId10" Type="http://schemas.openxmlformats.org/officeDocument/2006/relationships/comments" Target="../comments8.xml"/><Relationship Id="rId4" Type="http://schemas.openxmlformats.org/officeDocument/2006/relationships/customProperty" Target="../customProperty96.bin"/><Relationship Id="rId9" Type="http://schemas.openxmlformats.org/officeDocument/2006/relationships/vmlDrawing" Target="../drawings/vmlDrawing8.vml"/></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101.bin"/><Relationship Id="rId2" Type="http://schemas.openxmlformats.org/officeDocument/2006/relationships/customProperty" Target="../customProperty100.bin"/><Relationship Id="rId1" Type="http://schemas.openxmlformats.org/officeDocument/2006/relationships/printerSettings" Target="../printerSettings/printerSettings19.bin"/><Relationship Id="rId5" Type="http://schemas.openxmlformats.org/officeDocument/2006/relationships/customProperty" Target="../customProperty103.bin"/><Relationship Id="rId4" Type="http://schemas.openxmlformats.org/officeDocument/2006/relationships/customProperty" Target="../customProperty102.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2.bin"/><Relationship Id="rId6" Type="http://schemas.openxmlformats.org/officeDocument/2006/relationships/customProperty" Target="../customProperty11.bin"/><Relationship Id="rId5" Type="http://schemas.openxmlformats.org/officeDocument/2006/relationships/customProperty" Target="../customProperty10.bin"/><Relationship Id="rId4" Type="http://schemas.openxmlformats.org/officeDocument/2006/relationships/customProperty" Target="../customProperty9.bin"/><Relationship Id="rId9"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105.bin"/><Relationship Id="rId2" Type="http://schemas.openxmlformats.org/officeDocument/2006/relationships/customProperty" Target="../customProperty104.bin"/><Relationship Id="rId1" Type="http://schemas.openxmlformats.org/officeDocument/2006/relationships/printerSettings" Target="../printerSettings/printerSettings20.bin"/><Relationship Id="rId5" Type="http://schemas.openxmlformats.org/officeDocument/2006/relationships/customProperty" Target="../customProperty107.bin"/><Relationship Id="rId4" Type="http://schemas.openxmlformats.org/officeDocument/2006/relationships/customProperty" Target="../customProperty106.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3.bin"/><Relationship Id="rId6" Type="http://schemas.openxmlformats.org/officeDocument/2006/relationships/customProperty" Target="../customProperty17.bin"/><Relationship Id="rId5" Type="http://schemas.openxmlformats.org/officeDocument/2006/relationships/customProperty" Target="../customProperty16.bin"/><Relationship Id="rId4" Type="http://schemas.openxmlformats.org/officeDocument/2006/relationships/customProperty" Target="../customProperty15.bin"/><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customProperty" Target="../customProperty20.bin"/><Relationship Id="rId7" Type="http://schemas.openxmlformats.org/officeDocument/2006/relationships/customProperty" Target="../customProperty24.bin"/><Relationship Id="rId2" Type="http://schemas.openxmlformats.org/officeDocument/2006/relationships/customProperty" Target="../customProperty19.bin"/><Relationship Id="rId1" Type="http://schemas.openxmlformats.org/officeDocument/2006/relationships/printerSettings" Target="../printerSettings/printerSettings4.bin"/><Relationship Id="rId6" Type="http://schemas.openxmlformats.org/officeDocument/2006/relationships/customProperty" Target="../customProperty23.bin"/><Relationship Id="rId5" Type="http://schemas.openxmlformats.org/officeDocument/2006/relationships/customProperty" Target="../customProperty22.bin"/><Relationship Id="rId4" Type="http://schemas.openxmlformats.org/officeDocument/2006/relationships/customProperty" Target="../customProperty21.bin"/><Relationship Id="rId9"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26.bin"/><Relationship Id="rId7" Type="http://schemas.openxmlformats.org/officeDocument/2006/relationships/customProperty" Target="../customProperty30.bin"/><Relationship Id="rId2" Type="http://schemas.openxmlformats.org/officeDocument/2006/relationships/customProperty" Target="../customProperty25.bin"/><Relationship Id="rId1" Type="http://schemas.openxmlformats.org/officeDocument/2006/relationships/printerSettings" Target="../printerSettings/printerSettings5.bin"/><Relationship Id="rId6" Type="http://schemas.openxmlformats.org/officeDocument/2006/relationships/customProperty" Target="../customProperty29.bin"/><Relationship Id="rId5" Type="http://schemas.openxmlformats.org/officeDocument/2006/relationships/customProperty" Target="../customProperty28.bin"/><Relationship Id="rId4" Type="http://schemas.openxmlformats.org/officeDocument/2006/relationships/customProperty" Target="../customProperty27.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customProperty" Target="../customProperty32.bin"/><Relationship Id="rId7" Type="http://schemas.openxmlformats.org/officeDocument/2006/relationships/customProperty" Target="../customProperty36.bin"/><Relationship Id="rId2" Type="http://schemas.openxmlformats.org/officeDocument/2006/relationships/customProperty" Target="../customProperty31.bin"/><Relationship Id="rId1" Type="http://schemas.openxmlformats.org/officeDocument/2006/relationships/printerSettings" Target="../printerSettings/printerSettings6.bin"/><Relationship Id="rId6" Type="http://schemas.openxmlformats.org/officeDocument/2006/relationships/customProperty" Target="../customProperty35.bin"/><Relationship Id="rId5" Type="http://schemas.openxmlformats.org/officeDocument/2006/relationships/customProperty" Target="../customProperty34.bin"/><Relationship Id="rId4" Type="http://schemas.openxmlformats.org/officeDocument/2006/relationships/customProperty" Target="../customProperty33.bin"/><Relationship Id="rId9"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38.bin"/><Relationship Id="rId7" Type="http://schemas.openxmlformats.org/officeDocument/2006/relationships/customProperty" Target="../customProperty42.bin"/><Relationship Id="rId2" Type="http://schemas.openxmlformats.org/officeDocument/2006/relationships/customProperty" Target="../customProperty37.bin"/><Relationship Id="rId1" Type="http://schemas.openxmlformats.org/officeDocument/2006/relationships/printerSettings" Target="../printerSettings/printerSettings7.bin"/><Relationship Id="rId6" Type="http://schemas.openxmlformats.org/officeDocument/2006/relationships/customProperty" Target="../customProperty41.bin"/><Relationship Id="rId5" Type="http://schemas.openxmlformats.org/officeDocument/2006/relationships/customProperty" Target="../customProperty40.bin"/><Relationship Id="rId4" Type="http://schemas.openxmlformats.org/officeDocument/2006/relationships/customProperty" Target="../customProperty39.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44.bin"/><Relationship Id="rId7" Type="http://schemas.openxmlformats.org/officeDocument/2006/relationships/customProperty" Target="../customProperty48.bin"/><Relationship Id="rId2" Type="http://schemas.openxmlformats.org/officeDocument/2006/relationships/customProperty" Target="../customProperty43.bin"/><Relationship Id="rId1" Type="http://schemas.openxmlformats.org/officeDocument/2006/relationships/printerSettings" Target="../printerSettings/printerSettings8.bin"/><Relationship Id="rId6" Type="http://schemas.openxmlformats.org/officeDocument/2006/relationships/customProperty" Target="../customProperty47.bin"/><Relationship Id="rId5" Type="http://schemas.openxmlformats.org/officeDocument/2006/relationships/customProperty" Target="../customProperty46.bin"/><Relationship Id="rId4" Type="http://schemas.openxmlformats.org/officeDocument/2006/relationships/customProperty" Target="../customProperty4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50.bin"/><Relationship Id="rId7" Type="http://schemas.openxmlformats.org/officeDocument/2006/relationships/customProperty" Target="../customProperty54.bin"/><Relationship Id="rId2" Type="http://schemas.openxmlformats.org/officeDocument/2006/relationships/customProperty" Target="../customProperty49.bin"/><Relationship Id="rId1" Type="http://schemas.openxmlformats.org/officeDocument/2006/relationships/printerSettings" Target="../printerSettings/printerSettings9.bin"/><Relationship Id="rId6" Type="http://schemas.openxmlformats.org/officeDocument/2006/relationships/customProperty" Target="../customProperty53.bin"/><Relationship Id="rId5" Type="http://schemas.openxmlformats.org/officeDocument/2006/relationships/customProperty" Target="../customProperty52.bin"/><Relationship Id="rId4" Type="http://schemas.openxmlformats.org/officeDocument/2006/relationships/customProperty" Target="../customProperty5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54"/>
  <sheetViews>
    <sheetView tabSelected="1" zoomScale="85" zoomScaleNormal="85" zoomScaleSheetLayoutView="90" workbookViewId="0">
      <pane xSplit="3" ySplit="4" topLeftCell="BX5" activePane="bottomRight" state="frozen"/>
      <selection activeCell="I43" sqref="I43"/>
      <selection pane="topRight" activeCell="I43" sqref="I43"/>
      <selection pane="bottomLeft" activeCell="I43" sqref="I43"/>
      <selection pane="bottomRight" activeCell="BX23" sqref="BX23"/>
    </sheetView>
  </sheetViews>
  <sheetFormatPr defaultColWidth="9.109375" defaultRowHeight="15.6"/>
  <cols>
    <col min="1" max="1" width="43.44140625" style="708" bestFit="1" customWidth="1"/>
    <col min="2" max="2" width="33.88671875" style="708" bestFit="1" customWidth="1"/>
    <col min="3" max="3" width="1.6640625" style="707" customWidth="1"/>
    <col min="4" max="9" width="11.6640625" style="708" customWidth="1"/>
    <col min="10" max="10" width="2" style="707" customWidth="1"/>
    <col min="11" max="16" width="11.6640625" style="708" customWidth="1"/>
    <col min="17" max="17" width="2" style="707" customWidth="1"/>
    <col min="18" max="23" width="11.6640625" style="708" customWidth="1"/>
    <col min="24" max="24" width="2" style="707" customWidth="1"/>
    <col min="25" max="30" width="11.6640625" style="708" customWidth="1"/>
    <col min="31" max="31" width="2" style="707" customWidth="1"/>
    <col min="32" max="37" width="11.6640625" style="708" customWidth="1"/>
    <col min="38" max="38" width="2" style="707" customWidth="1"/>
    <col min="39" max="44" width="11.6640625" style="708" customWidth="1"/>
    <col min="45" max="45" width="2" style="707" customWidth="1"/>
    <col min="46" max="51" width="11.6640625" style="708" customWidth="1"/>
    <col min="52" max="52" width="2" style="707" customWidth="1"/>
    <col min="53" max="58" width="11.6640625" style="708" customWidth="1"/>
    <col min="59" max="59" width="2" style="707" customWidth="1"/>
    <col min="60" max="65" width="11.6640625" style="708" customWidth="1"/>
    <col min="66" max="66" width="2" style="707" customWidth="1"/>
    <col min="67" max="72" width="11.6640625" style="708" customWidth="1"/>
    <col min="73" max="73" width="2" style="707" customWidth="1"/>
    <col min="74" max="79" width="11.6640625" style="708" customWidth="1"/>
    <col min="80" max="80" width="2" style="707" customWidth="1"/>
    <col min="81" max="86" width="11.6640625" style="708" customWidth="1"/>
    <col min="87" max="87" width="2" style="707" customWidth="1"/>
    <col min="88" max="93" width="11.6640625" style="708" customWidth="1"/>
    <col min="94" max="94" width="1.5546875" style="710" customWidth="1"/>
    <col min="95" max="96" width="11.6640625" style="711" customWidth="1"/>
    <col min="97" max="16384" width="9.109375" style="708"/>
  </cols>
  <sheetData>
    <row r="1" spans="1:96" ht="21">
      <c r="A1" s="725" t="s">
        <v>86</v>
      </c>
      <c r="B1" s="725" t="s">
        <v>153</v>
      </c>
      <c r="E1" s="709"/>
      <c r="F1" s="709"/>
      <c r="G1" s="709"/>
      <c r="H1" s="709"/>
      <c r="L1" s="709"/>
      <c r="M1" s="709"/>
      <c r="N1" s="709"/>
      <c r="O1" s="709"/>
      <c r="S1" s="709"/>
      <c r="T1" s="709"/>
      <c r="U1" s="709"/>
      <c r="V1" s="709"/>
      <c r="Z1" s="709"/>
      <c r="AA1" s="709"/>
      <c r="AB1" s="709"/>
      <c r="AC1" s="709"/>
      <c r="AG1" s="709"/>
      <c r="AH1" s="709"/>
      <c r="AI1" s="709"/>
      <c r="AJ1" s="709"/>
      <c r="AN1" s="709"/>
      <c r="AO1" s="709"/>
      <c r="AP1" s="709"/>
      <c r="AQ1" s="709"/>
      <c r="AU1" s="709"/>
      <c r="AV1" s="709"/>
      <c r="AW1" s="709"/>
      <c r="AX1" s="709"/>
      <c r="BB1" s="709"/>
      <c r="BC1" s="709"/>
      <c r="BD1" s="709"/>
      <c r="BE1" s="709"/>
      <c r="BI1" s="709"/>
      <c r="BJ1" s="709"/>
      <c r="BK1" s="709"/>
      <c r="BL1" s="709"/>
      <c r="BP1" s="709"/>
      <c r="BQ1" s="709"/>
      <c r="BR1" s="709"/>
      <c r="BS1" s="709"/>
      <c r="BW1" s="709"/>
      <c r="BX1" s="709"/>
      <c r="BY1" s="709"/>
      <c r="BZ1" s="709"/>
      <c r="CD1" s="709"/>
      <c r="CE1" s="709"/>
      <c r="CF1" s="709"/>
      <c r="CG1" s="709"/>
      <c r="CK1" s="709"/>
      <c r="CL1" s="709"/>
      <c r="CM1" s="709"/>
      <c r="CN1" s="709"/>
    </row>
    <row r="2" spans="1:96" ht="0.75" customHeight="1">
      <c r="A2" s="726"/>
      <c r="B2" s="726"/>
    </row>
    <row r="3" spans="1:96" ht="21">
      <c r="A3" s="725" t="s">
        <v>19</v>
      </c>
      <c r="B3" s="725" t="s">
        <v>487</v>
      </c>
      <c r="C3" s="970"/>
      <c r="D3" s="974" t="s">
        <v>8</v>
      </c>
      <c r="E3" s="975"/>
      <c r="F3" s="975"/>
      <c r="G3" s="975"/>
      <c r="H3" s="975"/>
      <c r="I3" s="976"/>
      <c r="J3" s="970"/>
      <c r="K3" s="974" t="s">
        <v>78</v>
      </c>
      <c r="L3" s="975"/>
      <c r="M3" s="975"/>
      <c r="N3" s="975"/>
      <c r="O3" s="975"/>
      <c r="P3" s="976"/>
      <c r="Q3" s="970"/>
      <c r="R3" s="974" t="s">
        <v>79</v>
      </c>
      <c r="S3" s="975"/>
      <c r="T3" s="975"/>
      <c r="U3" s="975"/>
      <c r="V3" s="975"/>
      <c r="W3" s="976"/>
      <c r="X3" s="970"/>
      <c r="Y3" s="974" t="s">
        <v>80</v>
      </c>
      <c r="Z3" s="975"/>
      <c r="AA3" s="975"/>
      <c r="AB3" s="975"/>
      <c r="AC3" s="975"/>
      <c r="AD3" s="976"/>
      <c r="AE3" s="970"/>
      <c r="AF3" s="974" t="s">
        <v>81</v>
      </c>
      <c r="AG3" s="975"/>
      <c r="AH3" s="975"/>
      <c r="AI3" s="975"/>
      <c r="AJ3" s="975"/>
      <c r="AK3" s="976"/>
      <c r="AL3" s="970"/>
      <c r="AM3" s="974" t="s">
        <v>82</v>
      </c>
      <c r="AN3" s="975"/>
      <c r="AO3" s="975"/>
      <c r="AP3" s="975"/>
      <c r="AQ3" s="975"/>
      <c r="AR3" s="976"/>
      <c r="AS3" s="970"/>
      <c r="AT3" s="974" t="s">
        <v>83</v>
      </c>
      <c r="AU3" s="975"/>
      <c r="AV3" s="975"/>
      <c r="AW3" s="975"/>
      <c r="AX3" s="975"/>
      <c r="AY3" s="976"/>
      <c r="AZ3" s="970"/>
      <c r="BA3" s="974" t="s">
        <v>84</v>
      </c>
      <c r="BB3" s="975"/>
      <c r="BC3" s="975"/>
      <c r="BD3" s="975"/>
      <c r="BE3" s="975"/>
      <c r="BF3" s="976"/>
      <c r="BG3" s="970"/>
      <c r="BH3" s="974" t="s">
        <v>85</v>
      </c>
      <c r="BI3" s="975"/>
      <c r="BJ3" s="975"/>
      <c r="BK3" s="975"/>
      <c r="BL3" s="975"/>
      <c r="BM3" s="976"/>
      <c r="BN3" s="970"/>
      <c r="BO3" s="974" t="s">
        <v>4</v>
      </c>
      <c r="BP3" s="975"/>
      <c r="BQ3" s="975"/>
      <c r="BR3" s="975"/>
      <c r="BS3" s="975"/>
      <c r="BT3" s="976"/>
      <c r="BU3" s="970"/>
      <c r="BV3" s="974" t="s">
        <v>5</v>
      </c>
      <c r="BW3" s="975"/>
      <c r="BX3" s="975"/>
      <c r="BY3" s="975"/>
      <c r="BZ3" s="975"/>
      <c r="CA3" s="976"/>
      <c r="CB3" s="970"/>
      <c r="CC3" s="974" t="s">
        <v>6</v>
      </c>
      <c r="CD3" s="975"/>
      <c r="CE3" s="975"/>
      <c r="CF3" s="975"/>
      <c r="CG3" s="975"/>
      <c r="CH3" s="976"/>
      <c r="CI3" s="970"/>
      <c r="CJ3" s="974" t="s">
        <v>116</v>
      </c>
      <c r="CK3" s="975"/>
      <c r="CL3" s="975"/>
      <c r="CM3" s="975"/>
      <c r="CN3" s="975"/>
      <c r="CO3" s="976"/>
      <c r="CP3" s="971"/>
      <c r="CQ3" s="977" t="s">
        <v>237</v>
      </c>
      <c r="CR3" s="977" t="s">
        <v>238</v>
      </c>
    </row>
    <row r="4" spans="1:96" s="713" customFormat="1" ht="31.2">
      <c r="A4" s="723" t="s">
        <v>489</v>
      </c>
      <c r="B4" s="724" t="s">
        <v>118</v>
      </c>
      <c r="C4" s="972"/>
      <c r="D4" s="712" t="s">
        <v>488</v>
      </c>
      <c r="E4" s="712" t="s">
        <v>35</v>
      </c>
      <c r="F4" s="712" t="s">
        <v>36</v>
      </c>
      <c r="G4" s="712" t="s">
        <v>44</v>
      </c>
      <c r="H4" s="973" t="s">
        <v>34</v>
      </c>
      <c r="I4" s="973" t="s">
        <v>48</v>
      </c>
      <c r="J4" s="972"/>
      <c r="K4" s="712" t="s">
        <v>488</v>
      </c>
      <c r="L4" s="712" t="s">
        <v>35</v>
      </c>
      <c r="M4" s="712" t="s">
        <v>36</v>
      </c>
      <c r="N4" s="712" t="s">
        <v>44</v>
      </c>
      <c r="O4" s="973" t="s">
        <v>34</v>
      </c>
      <c r="P4" s="973" t="s">
        <v>48</v>
      </c>
      <c r="Q4" s="972"/>
      <c r="R4" s="712" t="s">
        <v>488</v>
      </c>
      <c r="S4" s="712" t="s">
        <v>35</v>
      </c>
      <c r="T4" s="712" t="s">
        <v>36</v>
      </c>
      <c r="U4" s="712" t="s">
        <v>44</v>
      </c>
      <c r="V4" s="973" t="s">
        <v>34</v>
      </c>
      <c r="W4" s="973" t="s">
        <v>48</v>
      </c>
      <c r="X4" s="972"/>
      <c r="Y4" s="712" t="s">
        <v>488</v>
      </c>
      <c r="Z4" s="712" t="s">
        <v>35</v>
      </c>
      <c r="AA4" s="712" t="s">
        <v>36</v>
      </c>
      <c r="AB4" s="712" t="s">
        <v>44</v>
      </c>
      <c r="AC4" s="973" t="s">
        <v>34</v>
      </c>
      <c r="AD4" s="973" t="s">
        <v>48</v>
      </c>
      <c r="AE4" s="972"/>
      <c r="AF4" s="712" t="s">
        <v>488</v>
      </c>
      <c r="AG4" s="712" t="s">
        <v>35</v>
      </c>
      <c r="AH4" s="712" t="s">
        <v>36</v>
      </c>
      <c r="AI4" s="712" t="s">
        <v>44</v>
      </c>
      <c r="AJ4" s="973" t="s">
        <v>34</v>
      </c>
      <c r="AK4" s="973" t="s">
        <v>48</v>
      </c>
      <c r="AL4" s="972"/>
      <c r="AM4" s="712" t="s">
        <v>488</v>
      </c>
      <c r="AN4" s="712" t="s">
        <v>35</v>
      </c>
      <c r="AO4" s="712" t="s">
        <v>36</v>
      </c>
      <c r="AP4" s="712" t="s">
        <v>44</v>
      </c>
      <c r="AQ4" s="973" t="s">
        <v>34</v>
      </c>
      <c r="AR4" s="973" t="s">
        <v>48</v>
      </c>
      <c r="AS4" s="972"/>
      <c r="AT4" s="712" t="s">
        <v>488</v>
      </c>
      <c r="AU4" s="712" t="s">
        <v>35</v>
      </c>
      <c r="AV4" s="712" t="s">
        <v>36</v>
      </c>
      <c r="AW4" s="712" t="s">
        <v>44</v>
      </c>
      <c r="AX4" s="973" t="s">
        <v>34</v>
      </c>
      <c r="AY4" s="973" t="s">
        <v>48</v>
      </c>
      <c r="AZ4" s="972"/>
      <c r="BA4" s="712" t="s">
        <v>488</v>
      </c>
      <c r="BB4" s="712" t="s">
        <v>35</v>
      </c>
      <c r="BC4" s="712" t="s">
        <v>36</v>
      </c>
      <c r="BD4" s="712" t="s">
        <v>44</v>
      </c>
      <c r="BE4" s="973" t="s">
        <v>34</v>
      </c>
      <c r="BF4" s="973" t="s">
        <v>48</v>
      </c>
      <c r="BG4" s="972"/>
      <c r="BH4" s="712" t="s">
        <v>488</v>
      </c>
      <c r="BI4" s="712" t="s">
        <v>35</v>
      </c>
      <c r="BJ4" s="712" t="s">
        <v>36</v>
      </c>
      <c r="BK4" s="712" t="s">
        <v>44</v>
      </c>
      <c r="BL4" s="973" t="s">
        <v>34</v>
      </c>
      <c r="BM4" s="973" t="s">
        <v>48</v>
      </c>
      <c r="BN4" s="972"/>
      <c r="BO4" s="712" t="s">
        <v>488</v>
      </c>
      <c r="BP4" s="712" t="s">
        <v>35</v>
      </c>
      <c r="BQ4" s="712" t="s">
        <v>36</v>
      </c>
      <c r="BR4" s="712" t="s">
        <v>44</v>
      </c>
      <c r="BS4" s="973" t="s">
        <v>34</v>
      </c>
      <c r="BT4" s="973" t="s">
        <v>48</v>
      </c>
      <c r="BU4" s="972"/>
      <c r="BV4" s="712" t="s">
        <v>488</v>
      </c>
      <c r="BW4" s="712" t="s">
        <v>35</v>
      </c>
      <c r="BX4" s="712" t="s">
        <v>36</v>
      </c>
      <c r="BY4" s="712" t="s">
        <v>44</v>
      </c>
      <c r="BZ4" s="973" t="s">
        <v>34</v>
      </c>
      <c r="CA4" s="973" t="s">
        <v>48</v>
      </c>
      <c r="CB4" s="972"/>
      <c r="CC4" s="712" t="s">
        <v>488</v>
      </c>
      <c r="CD4" s="712" t="s">
        <v>35</v>
      </c>
      <c r="CE4" s="712" t="s">
        <v>36</v>
      </c>
      <c r="CF4" s="712" t="s">
        <v>44</v>
      </c>
      <c r="CG4" s="973" t="s">
        <v>34</v>
      </c>
      <c r="CH4" s="973" t="s">
        <v>48</v>
      </c>
      <c r="CI4" s="972"/>
      <c r="CJ4" s="712" t="s">
        <v>488</v>
      </c>
      <c r="CK4" s="712" t="s">
        <v>35</v>
      </c>
      <c r="CL4" s="712" t="s">
        <v>36</v>
      </c>
      <c r="CM4" s="712" t="s">
        <v>44</v>
      </c>
      <c r="CN4" s="973" t="s">
        <v>34</v>
      </c>
      <c r="CO4" s="973" t="s">
        <v>48</v>
      </c>
      <c r="CP4" s="972"/>
      <c r="CQ4" s="978"/>
      <c r="CR4" s="978"/>
    </row>
    <row r="5" spans="1:96">
      <c r="A5" s="701" t="s">
        <v>127</v>
      </c>
      <c r="B5" s="701" t="s">
        <v>128</v>
      </c>
      <c r="C5" s="714"/>
      <c r="D5" s="715">
        <v>244</v>
      </c>
      <c r="E5" s="715"/>
      <c r="F5" s="715"/>
      <c r="G5" s="715"/>
      <c r="H5" s="715">
        <f t="shared" ref="H5:H27" si="0">D5+E5+F5</f>
        <v>244</v>
      </c>
      <c r="I5" s="715">
        <f t="shared" ref="I5:I27" si="1">D5+G5</f>
        <v>244</v>
      </c>
      <c r="J5" s="714"/>
      <c r="K5" s="715">
        <v>218</v>
      </c>
      <c r="L5" s="715"/>
      <c r="M5" s="715"/>
      <c r="N5" s="715"/>
      <c r="O5" s="715">
        <f t="shared" ref="O5:O27" si="2">K5+L5+M5</f>
        <v>218</v>
      </c>
      <c r="P5" s="715">
        <f t="shared" ref="P5:P27" si="3">K5+N5</f>
        <v>218</v>
      </c>
      <c r="Q5" s="714"/>
      <c r="R5" s="715">
        <v>246</v>
      </c>
      <c r="S5" s="715"/>
      <c r="T5" s="715"/>
      <c r="U5" s="715">
        <v>1</v>
      </c>
      <c r="V5" s="715">
        <f t="shared" ref="V5:V27" si="4">R5+S5+T5</f>
        <v>246</v>
      </c>
      <c r="W5" s="715">
        <f t="shared" ref="W5:W27" si="5">R5+U5</f>
        <v>247</v>
      </c>
      <c r="X5" s="714"/>
      <c r="Y5" s="715">
        <v>240</v>
      </c>
      <c r="Z5" s="715"/>
      <c r="AA5" s="715">
        <v>1</v>
      </c>
      <c r="AB5" s="715">
        <v>3</v>
      </c>
      <c r="AC5" s="715">
        <f t="shared" ref="AC5:AC27" si="6">Y5+Z5+AA5</f>
        <v>241</v>
      </c>
      <c r="AD5" s="715">
        <f t="shared" ref="AD5:AD27" si="7">Y5+AB5</f>
        <v>243</v>
      </c>
      <c r="AE5" s="714"/>
      <c r="AF5" s="715">
        <v>153</v>
      </c>
      <c r="AG5" s="715"/>
      <c r="AH5" s="715"/>
      <c r="AI5" s="715">
        <v>4</v>
      </c>
      <c r="AJ5" s="715">
        <f t="shared" ref="AJ5:AJ27" si="8">AF5+AG5+AH5</f>
        <v>153</v>
      </c>
      <c r="AK5" s="715">
        <f t="shared" ref="AK5:AK27" si="9">AF5+AI5</f>
        <v>157</v>
      </c>
      <c r="AL5" s="714"/>
      <c r="AM5" s="715">
        <v>128</v>
      </c>
      <c r="AN5" s="715"/>
      <c r="AO5" s="715"/>
      <c r="AP5" s="715">
        <v>3</v>
      </c>
      <c r="AQ5" s="715">
        <f t="shared" ref="AQ5:AQ27" si="10">AM5+AN5+AO5</f>
        <v>128</v>
      </c>
      <c r="AR5" s="715">
        <f t="shared" ref="AR5:AR27" si="11">AM5+AP5</f>
        <v>131</v>
      </c>
      <c r="AS5" s="714"/>
      <c r="AT5" s="715"/>
      <c r="AU5" s="715"/>
      <c r="AV5" s="715"/>
      <c r="AW5" s="715"/>
      <c r="AX5" s="715">
        <f t="shared" ref="AX5:AX27" si="12">AT5+AU5+AV5</f>
        <v>0</v>
      </c>
      <c r="AY5" s="715">
        <f t="shared" ref="AY5:AY27" si="13">AT5+AW5</f>
        <v>0</v>
      </c>
      <c r="AZ5" s="714"/>
      <c r="BA5" s="715"/>
      <c r="BB5" s="715"/>
      <c r="BC5" s="715"/>
      <c r="BD5" s="715"/>
      <c r="BE5" s="715">
        <f t="shared" ref="BE5:BE27" si="14">BA5+BB5+BC5</f>
        <v>0</v>
      </c>
      <c r="BF5" s="715">
        <f t="shared" ref="BF5:BF27" si="15">BA5+BD5</f>
        <v>0</v>
      </c>
      <c r="BG5" s="714"/>
      <c r="BH5" s="715"/>
      <c r="BI5" s="715"/>
      <c r="BJ5" s="715"/>
      <c r="BK5" s="715"/>
      <c r="BL5" s="715">
        <f t="shared" ref="BL5:BL27" si="16">BH5+BI5+BJ5</f>
        <v>0</v>
      </c>
      <c r="BM5" s="715">
        <f t="shared" ref="BM5:BM27" si="17">BH5+BK5</f>
        <v>0</v>
      </c>
      <c r="BN5" s="714"/>
      <c r="BO5" s="715"/>
      <c r="BP5" s="715"/>
      <c r="BQ5" s="715"/>
      <c r="BR5" s="715"/>
      <c r="BS5" s="715">
        <f t="shared" ref="BS5:BS27" si="18">BO5+BP5+BQ5</f>
        <v>0</v>
      </c>
      <c r="BT5" s="715">
        <f t="shared" ref="BT5:BT27" si="19">BO5+BR5</f>
        <v>0</v>
      </c>
      <c r="BU5" s="714"/>
      <c r="BV5" s="715"/>
      <c r="BW5" s="715"/>
      <c r="BX5" s="715"/>
      <c r="BY5" s="715"/>
      <c r="BZ5" s="715">
        <f t="shared" ref="BZ5:BZ27" si="20">BV5+BW5+BX5</f>
        <v>0</v>
      </c>
      <c r="CA5" s="715">
        <f t="shared" ref="CA5:CA27" si="21">BV5+BY5</f>
        <v>0</v>
      </c>
      <c r="CB5" s="714"/>
      <c r="CC5" s="715"/>
      <c r="CD5" s="715"/>
      <c r="CE5" s="715"/>
      <c r="CF5" s="715"/>
      <c r="CG5" s="715">
        <f t="shared" ref="CG5:CG27" si="22">CC5+CD5+CE5</f>
        <v>0</v>
      </c>
      <c r="CH5" s="715">
        <f t="shared" ref="CH5:CH27" si="23">CC5+CF5</f>
        <v>0</v>
      </c>
      <c r="CI5" s="714"/>
      <c r="CJ5" s="715">
        <f t="shared" ref="CJ5:CJ27" si="24">D5+K5+R5+Y5+AF5+AM5+AT5+BA5+BH5+BO5+BV5+CC5</f>
        <v>1229</v>
      </c>
      <c r="CK5" s="715">
        <f t="shared" ref="CK5:CK27" si="25">E5+L5+S5+Z5+AG5+AN5+AU5+BB5+BI5+BP5+BW5+CD5</f>
        <v>0</v>
      </c>
      <c r="CL5" s="715">
        <f t="shared" ref="CL5:CL27" si="26">F5+M5+T5+AA5+AH5+AO5+AV5+BC5+BJ5+BQ5+BX5+CE5</f>
        <v>1</v>
      </c>
      <c r="CM5" s="715">
        <f t="shared" ref="CM5:CM27" si="27">G5+N5+U5+AB5+AI5+AP5+AW5+BD5+BK5+BR5+BY5+CF5</f>
        <v>11</v>
      </c>
      <c r="CN5" s="715">
        <f t="shared" ref="CN5:CN27" si="28">H5+O5+V5+AC5+AJ5+AQ5+AX5+BE5+BL5+BS5+BZ5+CG5</f>
        <v>1230</v>
      </c>
      <c r="CO5" s="715">
        <f t="shared" ref="CO5:CO27" si="29">I5+P5+W5+AD5+AK5+AR5+AY5+BF5+BM5+BT5+CA5+CH5</f>
        <v>1240</v>
      </c>
      <c r="CQ5" s="717">
        <f t="shared" ref="CQ5:CQ27" si="30">IFERROR(CN5/$CN$28,0)</f>
        <v>1.5279843627819482E-2</v>
      </c>
      <c r="CR5" s="717">
        <f t="shared" ref="CR5:CR27" si="31">IFERROR(CO5/$CO$28,0)</f>
        <v>1.5777445190364163E-2</v>
      </c>
    </row>
    <row r="6" spans="1:96">
      <c r="A6" s="701" t="s">
        <v>129</v>
      </c>
      <c r="B6" s="701" t="s">
        <v>130</v>
      </c>
      <c r="C6" s="714"/>
      <c r="D6" s="718">
        <v>18</v>
      </c>
      <c r="E6" s="718"/>
      <c r="F6" s="718"/>
      <c r="G6" s="718">
        <v>1</v>
      </c>
      <c r="H6" s="715">
        <f t="shared" si="0"/>
        <v>18</v>
      </c>
      <c r="I6" s="715">
        <f t="shared" si="1"/>
        <v>19</v>
      </c>
      <c r="J6" s="714"/>
      <c r="K6" s="718">
        <v>15</v>
      </c>
      <c r="L6" s="718"/>
      <c r="M6" s="718"/>
      <c r="N6" s="718">
        <v>3</v>
      </c>
      <c r="O6" s="715">
        <f t="shared" si="2"/>
        <v>15</v>
      </c>
      <c r="P6" s="715">
        <f t="shared" si="3"/>
        <v>18</v>
      </c>
      <c r="Q6" s="714"/>
      <c r="R6" s="718">
        <v>20</v>
      </c>
      <c r="S6" s="718"/>
      <c r="T6" s="718"/>
      <c r="U6" s="718">
        <v>1</v>
      </c>
      <c r="V6" s="715">
        <f t="shared" si="4"/>
        <v>20</v>
      </c>
      <c r="W6" s="715">
        <f t="shared" si="5"/>
        <v>21</v>
      </c>
      <c r="X6" s="714"/>
      <c r="Y6" s="718">
        <v>19</v>
      </c>
      <c r="Z6" s="718"/>
      <c r="AA6" s="718"/>
      <c r="AB6" s="718">
        <v>1</v>
      </c>
      <c r="AC6" s="715">
        <f t="shared" si="6"/>
        <v>19</v>
      </c>
      <c r="AD6" s="715">
        <f t="shared" si="7"/>
        <v>20</v>
      </c>
      <c r="AE6" s="714"/>
      <c r="AF6" s="718">
        <v>12</v>
      </c>
      <c r="AG6" s="718"/>
      <c r="AH6" s="718"/>
      <c r="AI6" s="718">
        <v>1</v>
      </c>
      <c r="AJ6" s="715">
        <f t="shared" si="8"/>
        <v>12</v>
      </c>
      <c r="AK6" s="715">
        <f t="shared" si="9"/>
        <v>13</v>
      </c>
      <c r="AL6" s="714"/>
      <c r="AM6" s="718">
        <v>10</v>
      </c>
      <c r="AN6" s="718"/>
      <c r="AO6" s="718"/>
      <c r="AP6" s="718">
        <v>1</v>
      </c>
      <c r="AQ6" s="715">
        <f t="shared" si="10"/>
        <v>10</v>
      </c>
      <c r="AR6" s="715">
        <f t="shared" si="11"/>
        <v>11</v>
      </c>
      <c r="AS6" s="714"/>
      <c r="AT6" s="718"/>
      <c r="AU6" s="718"/>
      <c r="AV6" s="718"/>
      <c r="AW6" s="718"/>
      <c r="AX6" s="715">
        <f t="shared" si="12"/>
        <v>0</v>
      </c>
      <c r="AY6" s="715">
        <f t="shared" si="13"/>
        <v>0</v>
      </c>
      <c r="AZ6" s="714"/>
      <c r="BA6" s="718"/>
      <c r="BB6" s="718"/>
      <c r="BC6" s="718"/>
      <c r="BD6" s="718"/>
      <c r="BE6" s="715">
        <f t="shared" si="14"/>
        <v>0</v>
      </c>
      <c r="BF6" s="715">
        <f t="shared" si="15"/>
        <v>0</v>
      </c>
      <c r="BG6" s="714"/>
      <c r="BH6" s="718"/>
      <c r="BI6" s="718"/>
      <c r="BJ6" s="718"/>
      <c r="BK6" s="718"/>
      <c r="BL6" s="715">
        <f t="shared" si="16"/>
        <v>0</v>
      </c>
      <c r="BM6" s="715">
        <f t="shared" si="17"/>
        <v>0</v>
      </c>
      <c r="BN6" s="714"/>
      <c r="BO6" s="718"/>
      <c r="BP6" s="718"/>
      <c r="BQ6" s="718"/>
      <c r="BR6" s="718"/>
      <c r="BS6" s="715">
        <f t="shared" si="18"/>
        <v>0</v>
      </c>
      <c r="BT6" s="715">
        <f t="shared" si="19"/>
        <v>0</v>
      </c>
      <c r="BU6" s="714"/>
      <c r="BV6" s="718"/>
      <c r="BW6" s="718"/>
      <c r="BX6" s="718"/>
      <c r="BY6" s="718"/>
      <c r="BZ6" s="715">
        <f t="shared" si="20"/>
        <v>0</v>
      </c>
      <c r="CA6" s="715">
        <f t="shared" si="21"/>
        <v>0</v>
      </c>
      <c r="CB6" s="714"/>
      <c r="CC6" s="718"/>
      <c r="CD6" s="718"/>
      <c r="CE6" s="718"/>
      <c r="CF6" s="718"/>
      <c r="CG6" s="715">
        <f t="shared" si="22"/>
        <v>0</v>
      </c>
      <c r="CH6" s="715">
        <f t="shared" si="23"/>
        <v>0</v>
      </c>
      <c r="CI6" s="714"/>
      <c r="CJ6" s="718">
        <f t="shared" si="24"/>
        <v>94</v>
      </c>
      <c r="CK6" s="718">
        <f t="shared" si="25"/>
        <v>0</v>
      </c>
      <c r="CL6" s="718">
        <f t="shared" si="26"/>
        <v>0</v>
      </c>
      <c r="CM6" s="718">
        <f t="shared" si="27"/>
        <v>8</v>
      </c>
      <c r="CN6" s="715">
        <f t="shared" si="28"/>
        <v>94</v>
      </c>
      <c r="CO6" s="715">
        <f t="shared" si="29"/>
        <v>102</v>
      </c>
      <c r="CQ6" s="717">
        <f t="shared" si="30"/>
        <v>1.1677278870040903E-3</v>
      </c>
      <c r="CR6" s="717">
        <f t="shared" si="31"/>
        <v>1.2978221043686651E-3</v>
      </c>
    </row>
    <row r="7" spans="1:96">
      <c r="A7" s="701" t="s">
        <v>240</v>
      </c>
      <c r="B7" s="701" t="s">
        <v>322</v>
      </c>
      <c r="C7" s="714"/>
      <c r="D7" s="718">
        <v>3522</v>
      </c>
      <c r="E7" s="718">
        <v>66</v>
      </c>
      <c r="F7" s="718">
        <v>162</v>
      </c>
      <c r="G7" s="718">
        <v>136</v>
      </c>
      <c r="H7" s="715">
        <f t="shared" si="0"/>
        <v>3750</v>
      </c>
      <c r="I7" s="715">
        <f t="shared" si="1"/>
        <v>3658</v>
      </c>
      <c r="J7" s="714"/>
      <c r="K7" s="718">
        <v>3577</v>
      </c>
      <c r="L7" s="718">
        <v>99</v>
      </c>
      <c r="M7" s="718">
        <v>98</v>
      </c>
      <c r="N7" s="718">
        <v>130</v>
      </c>
      <c r="O7" s="715">
        <f t="shared" si="2"/>
        <v>3774</v>
      </c>
      <c r="P7" s="715">
        <f t="shared" si="3"/>
        <v>3707</v>
      </c>
      <c r="Q7" s="714"/>
      <c r="R7" s="718">
        <v>3379</v>
      </c>
      <c r="S7" s="718">
        <v>91</v>
      </c>
      <c r="T7" s="718">
        <v>103</v>
      </c>
      <c r="U7" s="718">
        <v>117</v>
      </c>
      <c r="V7" s="715">
        <f t="shared" si="4"/>
        <v>3573</v>
      </c>
      <c r="W7" s="715">
        <f t="shared" si="5"/>
        <v>3496</v>
      </c>
      <c r="X7" s="714"/>
      <c r="Y7" s="718">
        <v>3759</v>
      </c>
      <c r="Z7" s="718">
        <v>152</v>
      </c>
      <c r="AA7" s="718">
        <v>108</v>
      </c>
      <c r="AB7" s="718">
        <v>128</v>
      </c>
      <c r="AC7" s="715">
        <f t="shared" si="6"/>
        <v>4019</v>
      </c>
      <c r="AD7" s="715">
        <f t="shared" si="7"/>
        <v>3887</v>
      </c>
      <c r="AE7" s="714"/>
      <c r="AF7" s="718">
        <v>3107</v>
      </c>
      <c r="AG7" s="718">
        <v>94</v>
      </c>
      <c r="AH7" s="718">
        <v>56</v>
      </c>
      <c r="AI7" s="718">
        <v>110</v>
      </c>
      <c r="AJ7" s="715">
        <f t="shared" si="8"/>
        <v>3257</v>
      </c>
      <c r="AK7" s="715">
        <f t="shared" si="9"/>
        <v>3217</v>
      </c>
      <c r="AL7" s="714"/>
      <c r="AM7" s="718">
        <v>3209</v>
      </c>
      <c r="AN7" s="718">
        <v>165</v>
      </c>
      <c r="AO7" s="718">
        <v>90</v>
      </c>
      <c r="AP7" s="718">
        <v>106</v>
      </c>
      <c r="AQ7" s="715">
        <f t="shared" si="10"/>
        <v>3464</v>
      </c>
      <c r="AR7" s="715">
        <f t="shared" si="11"/>
        <v>3315</v>
      </c>
      <c r="AS7" s="714"/>
      <c r="AT7" s="718"/>
      <c r="AU7" s="718"/>
      <c r="AV7" s="718"/>
      <c r="AW7" s="718"/>
      <c r="AX7" s="715">
        <f t="shared" si="12"/>
        <v>0</v>
      </c>
      <c r="AY7" s="715">
        <f t="shared" si="13"/>
        <v>0</v>
      </c>
      <c r="AZ7" s="714"/>
      <c r="BA7" s="718"/>
      <c r="BB7" s="718"/>
      <c r="BC7" s="718"/>
      <c r="BD7" s="718"/>
      <c r="BE7" s="715">
        <f t="shared" si="14"/>
        <v>0</v>
      </c>
      <c r="BF7" s="715">
        <f t="shared" si="15"/>
        <v>0</v>
      </c>
      <c r="BG7" s="714"/>
      <c r="BH7" s="718"/>
      <c r="BI7" s="718"/>
      <c r="BJ7" s="718"/>
      <c r="BK7" s="718"/>
      <c r="BL7" s="715">
        <f t="shared" si="16"/>
        <v>0</v>
      </c>
      <c r="BM7" s="715">
        <f t="shared" si="17"/>
        <v>0</v>
      </c>
      <c r="BN7" s="714"/>
      <c r="BO7" s="718"/>
      <c r="BP7" s="718"/>
      <c r="BQ7" s="718"/>
      <c r="BR7" s="718"/>
      <c r="BS7" s="715">
        <f t="shared" si="18"/>
        <v>0</v>
      </c>
      <c r="BT7" s="715">
        <f t="shared" si="19"/>
        <v>0</v>
      </c>
      <c r="BU7" s="714"/>
      <c r="BV7" s="718"/>
      <c r="BW7" s="718"/>
      <c r="BX7" s="718"/>
      <c r="BY7" s="718"/>
      <c r="BZ7" s="715">
        <f t="shared" si="20"/>
        <v>0</v>
      </c>
      <c r="CA7" s="715">
        <f t="shared" si="21"/>
        <v>0</v>
      </c>
      <c r="CB7" s="714"/>
      <c r="CC7" s="718"/>
      <c r="CD7" s="718"/>
      <c r="CE7" s="718"/>
      <c r="CF7" s="718"/>
      <c r="CG7" s="715">
        <f t="shared" si="22"/>
        <v>0</v>
      </c>
      <c r="CH7" s="715">
        <f t="shared" si="23"/>
        <v>0</v>
      </c>
      <c r="CI7" s="714"/>
      <c r="CJ7" s="718">
        <f t="shared" si="24"/>
        <v>20553</v>
      </c>
      <c r="CK7" s="718">
        <f t="shared" si="25"/>
        <v>667</v>
      </c>
      <c r="CL7" s="718">
        <f t="shared" si="26"/>
        <v>617</v>
      </c>
      <c r="CM7" s="718">
        <f t="shared" si="27"/>
        <v>727</v>
      </c>
      <c r="CN7" s="715">
        <f t="shared" si="28"/>
        <v>21837</v>
      </c>
      <c r="CO7" s="715">
        <f t="shared" si="29"/>
        <v>21280</v>
      </c>
      <c r="CP7" s="719"/>
      <c r="CQ7" s="717">
        <f t="shared" si="30"/>
        <v>0.27127312626072686</v>
      </c>
      <c r="CR7" s="717">
        <f t="shared" si="31"/>
        <v>0.27076131746044307</v>
      </c>
    </row>
    <row r="8" spans="1:96">
      <c r="A8" s="701" t="s">
        <v>240</v>
      </c>
      <c r="B8" s="701" t="s">
        <v>321</v>
      </c>
      <c r="C8" s="714"/>
      <c r="D8" s="718">
        <v>106</v>
      </c>
      <c r="E8" s="718">
        <v>19</v>
      </c>
      <c r="F8" s="718">
        <v>63</v>
      </c>
      <c r="G8" s="718">
        <v>5</v>
      </c>
      <c r="H8" s="715">
        <f t="shared" si="0"/>
        <v>188</v>
      </c>
      <c r="I8" s="715">
        <f t="shared" si="1"/>
        <v>111</v>
      </c>
      <c r="J8" s="714"/>
      <c r="K8" s="718">
        <v>84</v>
      </c>
      <c r="L8" s="718">
        <v>10</v>
      </c>
      <c r="M8" s="718">
        <v>30</v>
      </c>
      <c r="N8" s="718"/>
      <c r="O8" s="715">
        <f t="shared" si="2"/>
        <v>124</v>
      </c>
      <c r="P8" s="715">
        <f t="shared" si="3"/>
        <v>84</v>
      </c>
      <c r="Q8" s="714"/>
      <c r="R8" s="718">
        <v>89</v>
      </c>
      <c r="S8" s="718">
        <v>4</v>
      </c>
      <c r="T8" s="718">
        <v>2</v>
      </c>
      <c r="U8" s="718">
        <v>6</v>
      </c>
      <c r="V8" s="715">
        <f t="shared" si="4"/>
        <v>95</v>
      </c>
      <c r="W8" s="715">
        <f t="shared" si="5"/>
        <v>95</v>
      </c>
      <c r="X8" s="714"/>
      <c r="Y8" s="718">
        <v>67</v>
      </c>
      <c r="Z8" s="718"/>
      <c r="AA8" s="718"/>
      <c r="AB8" s="718">
        <v>1</v>
      </c>
      <c r="AC8" s="715">
        <f t="shared" si="6"/>
        <v>67</v>
      </c>
      <c r="AD8" s="715">
        <f t="shared" si="7"/>
        <v>68</v>
      </c>
      <c r="AE8" s="714"/>
      <c r="AF8" s="718">
        <v>63</v>
      </c>
      <c r="AG8" s="718"/>
      <c r="AH8" s="718"/>
      <c r="AI8" s="718">
        <v>1</v>
      </c>
      <c r="AJ8" s="715">
        <f t="shared" si="8"/>
        <v>63</v>
      </c>
      <c r="AK8" s="715">
        <f t="shared" si="9"/>
        <v>64</v>
      </c>
      <c r="AL8" s="714"/>
      <c r="AM8" s="718">
        <v>33</v>
      </c>
      <c r="AN8" s="718"/>
      <c r="AO8" s="718"/>
      <c r="AP8" s="718"/>
      <c r="AQ8" s="715">
        <f t="shared" si="10"/>
        <v>33</v>
      </c>
      <c r="AR8" s="715">
        <f t="shared" si="11"/>
        <v>33</v>
      </c>
      <c r="AS8" s="714"/>
      <c r="AT8" s="718"/>
      <c r="AU8" s="718"/>
      <c r="AV8" s="718"/>
      <c r="AW8" s="718"/>
      <c r="AX8" s="715">
        <f>AT8+AU8+AV8</f>
        <v>0</v>
      </c>
      <c r="AY8" s="715">
        <f>AT8+AW8</f>
        <v>0</v>
      </c>
      <c r="AZ8" s="714"/>
      <c r="BA8" s="718"/>
      <c r="BB8" s="718"/>
      <c r="BC8" s="718"/>
      <c r="BD8" s="718"/>
      <c r="BE8" s="715">
        <f t="shared" si="14"/>
        <v>0</v>
      </c>
      <c r="BF8" s="715">
        <f t="shared" si="15"/>
        <v>0</v>
      </c>
      <c r="BG8" s="714"/>
      <c r="BH8" s="718"/>
      <c r="BI8" s="718"/>
      <c r="BJ8" s="718"/>
      <c r="BK8" s="718"/>
      <c r="BL8" s="715">
        <f>BH8+BI8+BJ8</f>
        <v>0</v>
      </c>
      <c r="BM8" s="715">
        <f>BH8+BK8</f>
        <v>0</v>
      </c>
      <c r="BN8" s="714"/>
      <c r="BO8" s="718"/>
      <c r="BP8" s="718"/>
      <c r="BQ8" s="718"/>
      <c r="BR8" s="718"/>
      <c r="BS8" s="715">
        <f>BO8+BP8+BQ8</f>
        <v>0</v>
      </c>
      <c r="BT8" s="715">
        <f>BO8+BR8</f>
        <v>0</v>
      </c>
      <c r="BU8" s="714"/>
      <c r="BV8" s="718"/>
      <c r="BW8" s="718"/>
      <c r="BX8" s="718"/>
      <c r="BY8" s="718"/>
      <c r="BZ8" s="715">
        <f t="shared" si="20"/>
        <v>0</v>
      </c>
      <c r="CA8" s="715">
        <f>BV8+BY8</f>
        <v>0</v>
      </c>
      <c r="CB8" s="714"/>
      <c r="CC8" s="718"/>
      <c r="CD8" s="718"/>
      <c r="CE8" s="718"/>
      <c r="CF8" s="718"/>
      <c r="CG8" s="715">
        <f>CC8+CD8+CE8</f>
        <v>0</v>
      </c>
      <c r="CH8" s="715">
        <f>CC8+CF8</f>
        <v>0</v>
      </c>
      <c r="CI8" s="714"/>
      <c r="CJ8" s="718">
        <f t="shared" si="24"/>
        <v>442</v>
      </c>
      <c r="CK8" s="718">
        <f t="shared" si="25"/>
        <v>33</v>
      </c>
      <c r="CL8" s="718">
        <f t="shared" si="26"/>
        <v>95</v>
      </c>
      <c r="CM8" s="718">
        <f t="shared" si="27"/>
        <v>13</v>
      </c>
      <c r="CN8" s="715">
        <f t="shared" si="28"/>
        <v>570</v>
      </c>
      <c r="CO8" s="715">
        <f t="shared" si="29"/>
        <v>455</v>
      </c>
      <c r="CP8" s="719"/>
      <c r="CQ8" s="717">
        <f t="shared" si="30"/>
        <v>7.0809031445992713E-3</v>
      </c>
      <c r="CR8" s="717">
        <f t="shared" si="31"/>
        <v>5.7893044851739473E-3</v>
      </c>
    </row>
    <row r="9" spans="1:96">
      <c r="A9" s="701" t="s">
        <v>240</v>
      </c>
      <c r="B9" s="701" t="s">
        <v>320</v>
      </c>
      <c r="C9" s="714"/>
      <c r="D9" s="718">
        <v>109</v>
      </c>
      <c r="E9" s="718">
        <v>4</v>
      </c>
      <c r="F9" s="718">
        <v>16</v>
      </c>
      <c r="G9" s="718">
        <v>6</v>
      </c>
      <c r="H9" s="715">
        <f t="shared" ref="H9" si="32">D9+E9+F9</f>
        <v>129</v>
      </c>
      <c r="I9" s="715">
        <f t="shared" ref="I9" si="33">D9+G9</f>
        <v>115</v>
      </c>
      <c r="J9" s="714"/>
      <c r="K9" s="718">
        <v>79</v>
      </c>
      <c r="L9" s="718">
        <v>4</v>
      </c>
      <c r="M9" s="718">
        <v>10</v>
      </c>
      <c r="N9" s="718">
        <v>7</v>
      </c>
      <c r="O9" s="715">
        <f t="shared" ref="O9" si="34">K9+L9+M9</f>
        <v>93</v>
      </c>
      <c r="P9" s="715">
        <f t="shared" ref="P9" si="35">K9+N9</f>
        <v>86</v>
      </c>
      <c r="Q9" s="714"/>
      <c r="R9" s="718">
        <v>133</v>
      </c>
      <c r="S9" s="718">
        <v>4</v>
      </c>
      <c r="T9" s="718">
        <v>10</v>
      </c>
      <c r="U9" s="718">
        <v>5</v>
      </c>
      <c r="V9" s="715">
        <f t="shared" ref="V9" si="36">R9+S9+T9</f>
        <v>147</v>
      </c>
      <c r="W9" s="715">
        <f t="shared" ref="W9" si="37">R9+U9</f>
        <v>138</v>
      </c>
      <c r="X9" s="714"/>
      <c r="Y9" s="718">
        <v>96</v>
      </c>
      <c r="Z9" s="718">
        <v>2</v>
      </c>
      <c r="AA9" s="718">
        <v>6</v>
      </c>
      <c r="AB9" s="718">
        <v>7</v>
      </c>
      <c r="AC9" s="715">
        <f t="shared" ref="AC9" si="38">Y9+Z9+AA9</f>
        <v>104</v>
      </c>
      <c r="AD9" s="715">
        <f t="shared" ref="AD9" si="39">Y9+AB9</f>
        <v>103</v>
      </c>
      <c r="AE9" s="714"/>
      <c r="AF9" s="718">
        <v>97</v>
      </c>
      <c r="AG9" s="718"/>
      <c r="AH9" s="718">
        <v>6</v>
      </c>
      <c r="AI9" s="718">
        <v>2</v>
      </c>
      <c r="AJ9" s="715">
        <f t="shared" ref="AJ9" si="40">AF9+AG9+AH9</f>
        <v>103</v>
      </c>
      <c r="AK9" s="715">
        <f t="shared" ref="AK9" si="41">AF9+AI9</f>
        <v>99</v>
      </c>
      <c r="AL9" s="714"/>
      <c r="AM9" s="718">
        <v>115</v>
      </c>
      <c r="AN9" s="718"/>
      <c r="AO9" s="718">
        <v>4</v>
      </c>
      <c r="AP9" s="718">
        <v>7</v>
      </c>
      <c r="AQ9" s="715">
        <f t="shared" ref="AQ9" si="42">AM9+AN9+AO9</f>
        <v>119</v>
      </c>
      <c r="AR9" s="715">
        <f t="shared" ref="AR9" si="43">AM9+AP9</f>
        <v>122</v>
      </c>
      <c r="AS9" s="714"/>
      <c r="AT9" s="718"/>
      <c r="AU9" s="718"/>
      <c r="AV9" s="718"/>
      <c r="AW9" s="718"/>
      <c r="AX9" s="715">
        <f>AT9+AU9+AV9</f>
        <v>0</v>
      </c>
      <c r="AY9" s="715">
        <f>AT9+AW9</f>
        <v>0</v>
      </c>
      <c r="AZ9" s="714"/>
      <c r="BA9" s="718"/>
      <c r="BB9" s="718"/>
      <c r="BC9" s="718"/>
      <c r="BD9" s="718"/>
      <c r="BE9" s="715">
        <f t="shared" ref="BE9" si="44">BA9+BB9+BC9</f>
        <v>0</v>
      </c>
      <c r="BF9" s="715">
        <f t="shared" ref="BF9" si="45">BA9+BD9</f>
        <v>0</v>
      </c>
      <c r="BG9" s="714"/>
      <c r="BH9" s="718"/>
      <c r="BI9" s="718"/>
      <c r="BJ9" s="718"/>
      <c r="BK9" s="718"/>
      <c r="BL9" s="715">
        <f>BH9+BI9+BJ9</f>
        <v>0</v>
      </c>
      <c r="BM9" s="715">
        <f>BH9+BK9</f>
        <v>0</v>
      </c>
      <c r="BN9" s="714"/>
      <c r="BO9" s="718"/>
      <c r="BP9" s="718"/>
      <c r="BQ9" s="718"/>
      <c r="BR9" s="718"/>
      <c r="BS9" s="715">
        <f>BO9+BP9+BQ9</f>
        <v>0</v>
      </c>
      <c r="BT9" s="715">
        <f>BO9+BR9</f>
        <v>0</v>
      </c>
      <c r="BU9" s="714"/>
      <c r="BV9" s="718"/>
      <c r="BW9" s="718"/>
      <c r="BX9" s="718"/>
      <c r="BY9" s="718"/>
      <c r="BZ9" s="715">
        <f t="shared" ref="BZ9" si="46">BV9+BW9+BX9</f>
        <v>0</v>
      </c>
      <c r="CA9" s="715">
        <f>BV9+BY9</f>
        <v>0</v>
      </c>
      <c r="CB9" s="714"/>
      <c r="CC9" s="718"/>
      <c r="CD9" s="718"/>
      <c r="CE9" s="718"/>
      <c r="CF9" s="718"/>
      <c r="CG9" s="715">
        <f>CC9+CD9+CE9</f>
        <v>0</v>
      </c>
      <c r="CH9" s="715">
        <f>CC9+CF9</f>
        <v>0</v>
      </c>
      <c r="CI9" s="714"/>
      <c r="CJ9" s="718">
        <f t="shared" si="24"/>
        <v>629</v>
      </c>
      <c r="CK9" s="718">
        <f t="shared" si="25"/>
        <v>14</v>
      </c>
      <c r="CL9" s="718">
        <f t="shared" si="26"/>
        <v>52</v>
      </c>
      <c r="CM9" s="718">
        <f t="shared" si="27"/>
        <v>34</v>
      </c>
      <c r="CN9" s="715">
        <f t="shared" si="28"/>
        <v>695</v>
      </c>
      <c r="CO9" s="715">
        <f t="shared" si="29"/>
        <v>663</v>
      </c>
      <c r="CP9" s="719"/>
      <c r="CQ9" s="717">
        <f t="shared" si="30"/>
        <v>8.6337327815727959E-3</v>
      </c>
      <c r="CR9" s="717">
        <f t="shared" si="31"/>
        <v>8.4358436783963237E-3</v>
      </c>
    </row>
    <row r="10" spans="1:96">
      <c r="A10" s="701" t="s">
        <v>120</v>
      </c>
      <c r="B10" s="701" t="s">
        <v>149</v>
      </c>
      <c r="C10" s="714"/>
      <c r="D10" s="718">
        <v>2226</v>
      </c>
      <c r="E10" s="718">
        <v>200</v>
      </c>
      <c r="F10" s="718">
        <v>29</v>
      </c>
      <c r="G10" s="718">
        <v>116</v>
      </c>
      <c r="H10" s="715">
        <f t="shared" si="0"/>
        <v>2455</v>
      </c>
      <c r="I10" s="715">
        <f t="shared" si="1"/>
        <v>2342</v>
      </c>
      <c r="J10" s="714"/>
      <c r="K10" s="718">
        <v>2323</v>
      </c>
      <c r="L10" s="718">
        <v>243</v>
      </c>
      <c r="M10" s="718">
        <v>27</v>
      </c>
      <c r="N10" s="718">
        <v>125</v>
      </c>
      <c r="O10" s="715">
        <f t="shared" si="2"/>
        <v>2593</v>
      </c>
      <c r="P10" s="715">
        <f t="shared" si="3"/>
        <v>2448</v>
      </c>
      <c r="Q10" s="714"/>
      <c r="R10" s="718">
        <v>2227</v>
      </c>
      <c r="S10" s="718">
        <v>275</v>
      </c>
      <c r="T10" s="718">
        <v>56</v>
      </c>
      <c r="U10" s="718">
        <v>116</v>
      </c>
      <c r="V10" s="715">
        <f t="shared" si="4"/>
        <v>2558</v>
      </c>
      <c r="W10" s="715">
        <f t="shared" si="5"/>
        <v>2343</v>
      </c>
      <c r="X10" s="714"/>
      <c r="Y10" s="718">
        <v>2471</v>
      </c>
      <c r="Z10" s="718">
        <v>289</v>
      </c>
      <c r="AA10" s="718">
        <v>45</v>
      </c>
      <c r="AB10" s="718">
        <v>126</v>
      </c>
      <c r="AC10" s="715">
        <f t="shared" si="6"/>
        <v>2805</v>
      </c>
      <c r="AD10" s="715">
        <f t="shared" si="7"/>
        <v>2597</v>
      </c>
      <c r="AE10" s="714"/>
      <c r="AF10" s="718">
        <v>1910</v>
      </c>
      <c r="AG10" s="718">
        <v>167</v>
      </c>
      <c r="AH10" s="718">
        <v>17</v>
      </c>
      <c r="AI10" s="718">
        <v>109</v>
      </c>
      <c r="AJ10" s="715">
        <f t="shared" si="8"/>
        <v>2094</v>
      </c>
      <c r="AK10" s="715">
        <f t="shared" si="9"/>
        <v>2019</v>
      </c>
      <c r="AL10" s="714"/>
      <c r="AM10" s="718">
        <v>1959</v>
      </c>
      <c r="AN10" s="718">
        <v>197</v>
      </c>
      <c r="AO10" s="718">
        <v>27</v>
      </c>
      <c r="AP10" s="718">
        <v>133</v>
      </c>
      <c r="AQ10" s="715">
        <f t="shared" si="10"/>
        <v>2183</v>
      </c>
      <c r="AR10" s="715">
        <f t="shared" si="11"/>
        <v>2092</v>
      </c>
      <c r="AS10" s="714"/>
      <c r="AT10" s="718"/>
      <c r="AU10" s="718"/>
      <c r="AV10" s="718"/>
      <c r="AW10" s="718"/>
      <c r="AX10" s="715">
        <f t="shared" si="12"/>
        <v>0</v>
      </c>
      <c r="AY10" s="715">
        <f t="shared" si="13"/>
        <v>0</v>
      </c>
      <c r="AZ10" s="714"/>
      <c r="BA10" s="718"/>
      <c r="BB10" s="718"/>
      <c r="BC10" s="718"/>
      <c r="BD10" s="718"/>
      <c r="BE10" s="715">
        <f t="shared" si="14"/>
        <v>0</v>
      </c>
      <c r="BF10" s="715">
        <f t="shared" si="15"/>
        <v>0</v>
      </c>
      <c r="BG10" s="714"/>
      <c r="BH10" s="718"/>
      <c r="BI10" s="718"/>
      <c r="BJ10" s="718"/>
      <c r="BK10" s="718"/>
      <c r="BL10" s="715">
        <f t="shared" si="16"/>
        <v>0</v>
      </c>
      <c r="BM10" s="715">
        <f t="shared" si="17"/>
        <v>0</v>
      </c>
      <c r="BN10" s="714"/>
      <c r="BO10" s="718"/>
      <c r="BP10" s="718"/>
      <c r="BQ10" s="718"/>
      <c r="BR10" s="718"/>
      <c r="BS10" s="715">
        <f t="shared" si="18"/>
        <v>0</v>
      </c>
      <c r="BT10" s="715">
        <f t="shared" si="19"/>
        <v>0</v>
      </c>
      <c r="BU10" s="714"/>
      <c r="BV10" s="718"/>
      <c r="BW10" s="718"/>
      <c r="BX10" s="718"/>
      <c r="BY10" s="718"/>
      <c r="BZ10" s="715">
        <f t="shared" si="20"/>
        <v>0</v>
      </c>
      <c r="CA10" s="715">
        <f t="shared" si="21"/>
        <v>0</v>
      </c>
      <c r="CB10" s="714"/>
      <c r="CC10" s="718"/>
      <c r="CD10" s="718"/>
      <c r="CE10" s="718"/>
      <c r="CF10" s="718"/>
      <c r="CG10" s="715">
        <f t="shared" si="22"/>
        <v>0</v>
      </c>
      <c r="CH10" s="715">
        <f t="shared" si="23"/>
        <v>0</v>
      </c>
      <c r="CI10" s="714"/>
      <c r="CJ10" s="718">
        <f t="shared" si="24"/>
        <v>13116</v>
      </c>
      <c r="CK10" s="718">
        <f t="shared" si="25"/>
        <v>1371</v>
      </c>
      <c r="CL10" s="718">
        <f t="shared" si="26"/>
        <v>201</v>
      </c>
      <c r="CM10" s="718">
        <f t="shared" si="27"/>
        <v>725</v>
      </c>
      <c r="CN10" s="715">
        <f t="shared" si="28"/>
        <v>14688</v>
      </c>
      <c r="CO10" s="715">
        <f t="shared" si="29"/>
        <v>13841</v>
      </c>
      <c r="CQ10" s="717">
        <f t="shared" si="30"/>
        <v>0.18246369366293702</v>
      </c>
      <c r="CR10" s="717">
        <f t="shared" si="31"/>
        <v>0.17610937006437935</v>
      </c>
    </row>
    <row r="11" spans="1:96">
      <c r="A11" s="701" t="s">
        <v>120</v>
      </c>
      <c r="B11" s="701" t="s">
        <v>150</v>
      </c>
      <c r="C11" s="714"/>
      <c r="D11" s="718">
        <v>1693</v>
      </c>
      <c r="E11" s="718">
        <v>65</v>
      </c>
      <c r="F11" s="718">
        <v>12</v>
      </c>
      <c r="G11" s="718">
        <v>19</v>
      </c>
      <c r="H11" s="715">
        <f t="shared" si="0"/>
        <v>1770</v>
      </c>
      <c r="I11" s="715">
        <f t="shared" si="1"/>
        <v>1712</v>
      </c>
      <c r="J11" s="714"/>
      <c r="K11" s="718">
        <v>1751</v>
      </c>
      <c r="L11" s="718">
        <v>62</v>
      </c>
      <c r="M11" s="718">
        <v>11</v>
      </c>
      <c r="N11" s="718">
        <v>27</v>
      </c>
      <c r="O11" s="715">
        <f t="shared" si="2"/>
        <v>1824</v>
      </c>
      <c r="P11" s="715">
        <f t="shared" si="3"/>
        <v>1778</v>
      </c>
      <c r="Q11" s="714"/>
      <c r="R11" s="718">
        <v>1559</v>
      </c>
      <c r="S11" s="718">
        <v>61</v>
      </c>
      <c r="T11" s="718">
        <v>24</v>
      </c>
      <c r="U11" s="718">
        <v>17</v>
      </c>
      <c r="V11" s="715">
        <f t="shared" si="4"/>
        <v>1644</v>
      </c>
      <c r="W11" s="715">
        <f t="shared" si="5"/>
        <v>1576</v>
      </c>
      <c r="X11" s="714"/>
      <c r="Y11" s="718">
        <v>1824</v>
      </c>
      <c r="Z11" s="718">
        <v>83</v>
      </c>
      <c r="AA11" s="718">
        <v>23</v>
      </c>
      <c r="AB11" s="718">
        <v>16</v>
      </c>
      <c r="AC11" s="715">
        <f t="shared" si="6"/>
        <v>1930</v>
      </c>
      <c r="AD11" s="715">
        <f t="shared" si="7"/>
        <v>1840</v>
      </c>
      <c r="AE11" s="714"/>
      <c r="AF11" s="718">
        <v>1625</v>
      </c>
      <c r="AG11" s="718">
        <v>55</v>
      </c>
      <c r="AH11" s="718">
        <v>21</v>
      </c>
      <c r="AI11" s="718">
        <v>25</v>
      </c>
      <c r="AJ11" s="715">
        <f t="shared" si="8"/>
        <v>1701</v>
      </c>
      <c r="AK11" s="715">
        <f t="shared" si="9"/>
        <v>1650</v>
      </c>
      <c r="AL11" s="714"/>
      <c r="AM11" s="718">
        <v>1679</v>
      </c>
      <c r="AN11" s="718">
        <v>65</v>
      </c>
      <c r="AO11" s="718">
        <v>21</v>
      </c>
      <c r="AP11" s="718">
        <v>38</v>
      </c>
      <c r="AQ11" s="715">
        <f t="shared" si="10"/>
        <v>1765</v>
      </c>
      <c r="AR11" s="715">
        <f t="shared" si="11"/>
        <v>1717</v>
      </c>
      <c r="AS11" s="714"/>
      <c r="AT11" s="718"/>
      <c r="AU11" s="718"/>
      <c r="AV11" s="718"/>
      <c r="AW11" s="718"/>
      <c r="AX11" s="715">
        <f t="shared" si="12"/>
        <v>0</v>
      </c>
      <c r="AY11" s="715">
        <f t="shared" si="13"/>
        <v>0</v>
      </c>
      <c r="AZ11" s="714"/>
      <c r="BA11" s="718"/>
      <c r="BB11" s="718"/>
      <c r="BC11" s="718"/>
      <c r="BD11" s="718"/>
      <c r="BE11" s="715">
        <f t="shared" si="14"/>
        <v>0</v>
      </c>
      <c r="BF11" s="715">
        <f t="shared" si="15"/>
        <v>0</v>
      </c>
      <c r="BG11" s="714"/>
      <c r="BH11" s="718"/>
      <c r="BI11" s="718"/>
      <c r="BJ11" s="718"/>
      <c r="BK11" s="718"/>
      <c r="BL11" s="715">
        <f t="shared" si="16"/>
        <v>0</v>
      </c>
      <c r="BM11" s="715">
        <f t="shared" si="17"/>
        <v>0</v>
      </c>
      <c r="BN11" s="714"/>
      <c r="BO11" s="718"/>
      <c r="BP11" s="718"/>
      <c r="BQ11" s="718"/>
      <c r="BR11" s="718"/>
      <c r="BS11" s="715">
        <f t="shared" si="18"/>
        <v>0</v>
      </c>
      <c r="BT11" s="715">
        <f t="shared" si="19"/>
        <v>0</v>
      </c>
      <c r="BU11" s="714"/>
      <c r="BV11" s="718"/>
      <c r="BW11" s="718"/>
      <c r="BX11" s="718"/>
      <c r="BY11" s="718"/>
      <c r="BZ11" s="715">
        <f t="shared" si="20"/>
        <v>0</v>
      </c>
      <c r="CA11" s="715">
        <f t="shared" si="21"/>
        <v>0</v>
      </c>
      <c r="CB11" s="714"/>
      <c r="CC11" s="718"/>
      <c r="CD11" s="718"/>
      <c r="CE11" s="718"/>
      <c r="CF11" s="718"/>
      <c r="CG11" s="715">
        <f t="shared" si="22"/>
        <v>0</v>
      </c>
      <c r="CH11" s="715">
        <f t="shared" si="23"/>
        <v>0</v>
      </c>
      <c r="CI11" s="714"/>
      <c r="CJ11" s="718">
        <f t="shared" si="24"/>
        <v>10131</v>
      </c>
      <c r="CK11" s="718">
        <f t="shared" si="25"/>
        <v>391</v>
      </c>
      <c r="CL11" s="718">
        <f t="shared" si="26"/>
        <v>112</v>
      </c>
      <c r="CM11" s="718">
        <f t="shared" si="27"/>
        <v>142</v>
      </c>
      <c r="CN11" s="715">
        <f t="shared" si="28"/>
        <v>10634</v>
      </c>
      <c r="CO11" s="715">
        <f t="shared" si="29"/>
        <v>10273</v>
      </c>
      <c r="CQ11" s="717">
        <f t="shared" si="30"/>
        <v>0.13210232287661167</v>
      </c>
      <c r="CR11" s="717">
        <f t="shared" si="31"/>
        <v>0.1307110439037186</v>
      </c>
    </row>
    <row r="12" spans="1:96">
      <c r="A12" s="701" t="s">
        <v>120</v>
      </c>
      <c r="B12" s="701" t="s">
        <v>331</v>
      </c>
      <c r="C12" s="714"/>
      <c r="D12" s="718">
        <v>516</v>
      </c>
      <c r="E12" s="718">
        <v>27</v>
      </c>
      <c r="F12" s="718">
        <v>2</v>
      </c>
      <c r="G12" s="718">
        <v>25</v>
      </c>
      <c r="H12" s="715">
        <f t="shared" si="0"/>
        <v>545</v>
      </c>
      <c r="I12" s="715">
        <f t="shared" si="1"/>
        <v>541</v>
      </c>
      <c r="J12" s="714"/>
      <c r="K12" s="718">
        <v>498</v>
      </c>
      <c r="L12" s="718">
        <v>25</v>
      </c>
      <c r="M12" s="718">
        <v>2</v>
      </c>
      <c r="N12" s="718">
        <v>23</v>
      </c>
      <c r="O12" s="715">
        <f t="shared" si="2"/>
        <v>525</v>
      </c>
      <c r="P12" s="715">
        <f t="shared" si="3"/>
        <v>521</v>
      </c>
      <c r="Q12" s="714"/>
      <c r="R12" s="718">
        <v>481</v>
      </c>
      <c r="S12" s="718">
        <v>32</v>
      </c>
      <c r="T12" s="718">
        <v>8</v>
      </c>
      <c r="U12" s="718">
        <v>6</v>
      </c>
      <c r="V12" s="715">
        <f t="shared" si="4"/>
        <v>521</v>
      </c>
      <c r="W12" s="715">
        <f t="shared" si="5"/>
        <v>487</v>
      </c>
      <c r="X12" s="714"/>
      <c r="Y12" s="718">
        <v>535</v>
      </c>
      <c r="Z12" s="718">
        <v>31</v>
      </c>
      <c r="AA12" s="718">
        <v>3</v>
      </c>
      <c r="AB12" s="718">
        <v>22</v>
      </c>
      <c r="AC12" s="715">
        <f t="shared" si="6"/>
        <v>569</v>
      </c>
      <c r="AD12" s="715">
        <f t="shared" si="7"/>
        <v>557</v>
      </c>
      <c r="AE12" s="714"/>
      <c r="AF12" s="718">
        <v>457</v>
      </c>
      <c r="AG12" s="718">
        <v>17</v>
      </c>
      <c r="AH12" s="718"/>
      <c r="AI12" s="718">
        <v>8</v>
      </c>
      <c r="AJ12" s="715">
        <f t="shared" si="8"/>
        <v>474</v>
      </c>
      <c r="AK12" s="715">
        <f t="shared" si="9"/>
        <v>465</v>
      </c>
      <c r="AL12" s="714"/>
      <c r="AM12" s="718">
        <v>445</v>
      </c>
      <c r="AN12" s="718">
        <v>23</v>
      </c>
      <c r="AO12" s="718">
        <v>6</v>
      </c>
      <c r="AP12" s="718">
        <v>12</v>
      </c>
      <c r="AQ12" s="715">
        <f t="shared" si="10"/>
        <v>474</v>
      </c>
      <c r="AR12" s="715">
        <f t="shared" si="11"/>
        <v>457</v>
      </c>
      <c r="AS12" s="714"/>
      <c r="AT12" s="718"/>
      <c r="AU12" s="718"/>
      <c r="AV12" s="718"/>
      <c r="AW12" s="718"/>
      <c r="AX12" s="715">
        <f t="shared" si="12"/>
        <v>0</v>
      </c>
      <c r="AY12" s="715">
        <f t="shared" si="13"/>
        <v>0</v>
      </c>
      <c r="AZ12" s="714"/>
      <c r="BA12" s="718"/>
      <c r="BB12" s="718"/>
      <c r="BC12" s="718"/>
      <c r="BD12" s="718"/>
      <c r="BE12" s="715">
        <f t="shared" si="14"/>
        <v>0</v>
      </c>
      <c r="BF12" s="715">
        <f t="shared" si="15"/>
        <v>0</v>
      </c>
      <c r="BG12" s="714"/>
      <c r="BH12" s="718"/>
      <c r="BI12" s="718"/>
      <c r="BJ12" s="718"/>
      <c r="BK12" s="718"/>
      <c r="BL12" s="715">
        <f t="shared" si="16"/>
        <v>0</v>
      </c>
      <c r="BM12" s="715">
        <f t="shared" si="17"/>
        <v>0</v>
      </c>
      <c r="BN12" s="714"/>
      <c r="BO12" s="718"/>
      <c r="BP12" s="718"/>
      <c r="BQ12" s="718"/>
      <c r="BR12" s="718"/>
      <c r="BS12" s="715">
        <f t="shared" si="18"/>
        <v>0</v>
      </c>
      <c r="BT12" s="715">
        <f t="shared" si="19"/>
        <v>0</v>
      </c>
      <c r="BU12" s="714"/>
      <c r="BV12" s="718"/>
      <c r="BW12" s="718"/>
      <c r="BX12" s="718"/>
      <c r="BY12" s="718"/>
      <c r="BZ12" s="715">
        <f t="shared" si="20"/>
        <v>0</v>
      </c>
      <c r="CA12" s="715">
        <f t="shared" si="21"/>
        <v>0</v>
      </c>
      <c r="CB12" s="714"/>
      <c r="CC12" s="718"/>
      <c r="CD12" s="718"/>
      <c r="CE12" s="718"/>
      <c r="CF12" s="718"/>
      <c r="CG12" s="715">
        <f t="shared" si="22"/>
        <v>0</v>
      </c>
      <c r="CH12" s="715">
        <f t="shared" si="23"/>
        <v>0</v>
      </c>
      <c r="CI12" s="714"/>
      <c r="CJ12" s="718">
        <f t="shared" si="24"/>
        <v>2932</v>
      </c>
      <c r="CK12" s="718">
        <f t="shared" si="25"/>
        <v>155</v>
      </c>
      <c r="CL12" s="718">
        <f t="shared" si="26"/>
        <v>21</v>
      </c>
      <c r="CM12" s="718">
        <f t="shared" si="27"/>
        <v>96</v>
      </c>
      <c r="CN12" s="715">
        <f t="shared" si="28"/>
        <v>3108</v>
      </c>
      <c r="CO12" s="715">
        <f t="shared" si="29"/>
        <v>3028</v>
      </c>
      <c r="CQ12" s="717">
        <f t="shared" si="30"/>
        <v>3.860955609370971E-2</v>
      </c>
      <c r="CR12" s="717">
        <f t="shared" si="31"/>
        <v>3.8527503255179583E-2</v>
      </c>
    </row>
    <row r="13" spans="1:96">
      <c r="A13" s="702" t="s">
        <v>120</v>
      </c>
      <c r="B13" s="702" t="s">
        <v>134</v>
      </c>
      <c r="C13" s="714"/>
      <c r="D13" s="718">
        <v>1270</v>
      </c>
      <c r="E13" s="720"/>
      <c r="F13" s="720"/>
      <c r="G13" s="720"/>
      <c r="H13" s="716">
        <f t="shared" si="0"/>
        <v>1270</v>
      </c>
      <c r="I13" s="716">
        <f t="shared" si="1"/>
        <v>1270</v>
      </c>
      <c r="J13" s="714"/>
      <c r="K13" s="718">
        <v>1349</v>
      </c>
      <c r="L13" s="720"/>
      <c r="M13" s="720"/>
      <c r="N13" s="720"/>
      <c r="O13" s="716">
        <f t="shared" si="2"/>
        <v>1349</v>
      </c>
      <c r="P13" s="716">
        <f t="shared" si="3"/>
        <v>1349</v>
      </c>
      <c r="Q13" s="714"/>
      <c r="R13" s="718">
        <v>1192</v>
      </c>
      <c r="S13" s="720"/>
      <c r="T13" s="720"/>
      <c r="U13" s="720"/>
      <c r="V13" s="716">
        <f t="shared" si="4"/>
        <v>1192</v>
      </c>
      <c r="W13" s="716">
        <f t="shared" si="5"/>
        <v>1192</v>
      </c>
      <c r="X13" s="714"/>
      <c r="Y13" s="718">
        <v>1309</v>
      </c>
      <c r="Z13" s="720"/>
      <c r="AA13" s="720"/>
      <c r="AB13" s="720"/>
      <c r="AC13" s="716">
        <f t="shared" si="6"/>
        <v>1309</v>
      </c>
      <c r="AD13" s="716">
        <f t="shared" si="7"/>
        <v>1309</v>
      </c>
      <c r="AE13" s="714"/>
      <c r="AF13" s="718">
        <v>1103</v>
      </c>
      <c r="AG13" s="720"/>
      <c r="AH13" s="720"/>
      <c r="AI13" s="720"/>
      <c r="AJ13" s="716">
        <f t="shared" si="8"/>
        <v>1103</v>
      </c>
      <c r="AK13" s="716">
        <f t="shared" si="9"/>
        <v>1103</v>
      </c>
      <c r="AL13" s="714"/>
      <c r="AM13" s="718">
        <v>895</v>
      </c>
      <c r="AN13" s="720"/>
      <c r="AO13" s="720"/>
      <c r="AP13" s="720"/>
      <c r="AQ13" s="716">
        <f t="shared" si="10"/>
        <v>895</v>
      </c>
      <c r="AR13" s="716">
        <f t="shared" si="11"/>
        <v>895</v>
      </c>
      <c r="AS13" s="714"/>
      <c r="AT13" s="718"/>
      <c r="AU13" s="720"/>
      <c r="AV13" s="720"/>
      <c r="AW13" s="720"/>
      <c r="AX13" s="716">
        <f t="shared" si="12"/>
        <v>0</v>
      </c>
      <c r="AY13" s="716">
        <f t="shared" si="13"/>
        <v>0</v>
      </c>
      <c r="AZ13" s="714"/>
      <c r="BA13" s="718"/>
      <c r="BB13" s="720"/>
      <c r="BC13" s="720"/>
      <c r="BD13" s="720"/>
      <c r="BE13" s="716">
        <f t="shared" si="14"/>
        <v>0</v>
      </c>
      <c r="BF13" s="716">
        <f t="shared" si="15"/>
        <v>0</v>
      </c>
      <c r="BG13" s="714"/>
      <c r="BH13" s="718"/>
      <c r="BI13" s="720"/>
      <c r="BJ13" s="720"/>
      <c r="BK13" s="720"/>
      <c r="BL13" s="716">
        <f t="shared" si="16"/>
        <v>0</v>
      </c>
      <c r="BM13" s="716">
        <f t="shared" si="17"/>
        <v>0</v>
      </c>
      <c r="BN13" s="714"/>
      <c r="BO13" s="718"/>
      <c r="BP13" s="720"/>
      <c r="BQ13" s="720"/>
      <c r="BR13" s="720"/>
      <c r="BS13" s="716">
        <f t="shared" si="18"/>
        <v>0</v>
      </c>
      <c r="BT13" s="716">
        <f t="shared" si="19"/>
        <v>0</v>
      </c>
      <c r="BU13" s="714"/>
      <c r="BV13" s="718"/>
      <c r="BW13" s="720"/>
      <c r="BX13" s="720"/>
      <c r="BY13" s="720"/>
      <c r="BZ13" s="716">
        <f t="shared" si="20"/>
        <v>0</v>
      </c>
      <c r="CA13" s="716">
        <f t="shared" si="21"/>
        <v>0</v>
      </c>
      <c r="CB13" s="714"/>
      <c r="CC13" s="718"/>
      <c r="CD13" s="720"/>
      <c r="CE13" s="720"/>
      <c r="CF13" s="720"/>
      <c r="CG13" s="716">
        <f t="shared" si="22"/>
        <v>0</v>
      </c>
      <c r="CH13" s="716">
        <f t="shared" si="23"/>
        <v>0</v>
      </c>
      <c r="CI13" s="714"/>
      <c r="CJ13" s="718">
        <f t="shared" si="24"/>
        <v>7118</v>
      </c>
      <c r="CK13" s="720">
        <f t="shared" si="25"/>
        <v>0</v>
      </c>
      <c r="CL13" s="720">
        <f t="shared" si="26"/>
        <v>0</v>
      </c>
      <c r="CM13" s="720">
        <f t="shared" si="27"/>
        <v>0</v>
      </c>
      <c r="CN13" s="716">
        <f t="shared" si="28"/>
        <v>7118</v>
      </c>
      <c r="CO13" s="716">
        <f t="shared" si="29"/>
        <v>7118</v>
      </c>
      <c r="CQ13" s="717">
        <f t="shared" si="30"/>
        <v>8.8424330847820379E-2</v>
      </c>
      <c r="CR13" s="717">
        <f t="shared" si="31"/>
        <v>9.0567624891138801E-2</v>
      </c>
    </row>
    <row r="14" spans="1:96">
      <c r="A14" s="702" t="s">
        <v>120</v>
      </c>
      <c r="B14" s="702" t="s">
        <v>135</v>
      </c>
      <c r="C14" s="714"/>
      <c r="D14" s="718">
        <v>1383</v>
      </c>
      <c r="E14" s="720"/>
      <c r="F14" s="720"/>
      <c r="G14" s="720"/>
      <c r="H14" s="716">
        <f t="shared" si="0"/>
        <v>1383</v>
      </c>
      <c r="I14" s="716">
        <f t="shared" si="1"/>
        <v>1383</v>
      </c>
      <c r="J14" s="714"/>
      <c r="K14" s="718">
        <v>1437</v>
      </c>
      <c r="L14" s="720"/>
      <c r="M14" s="720"/>
      <c r="N14" s="720"/>
      <c r="O14" s="716">
        <f t="shared" si="2"/>
        <v>1437</v>
      </c>
      <c r="P14" s="716">
        <f t="shared" si="3"/>
        <v>1437</v>
      </c>
      <c r="Q14" s="714"/>
      <c r="R14" s="718">
        <v>1098</v>
      </c>
      <c r="S14" s="720"/>
      <c r="T14" s="720"/>
      <c r="U14" s="720"/>
      <c r="V14" s="716">
        <f t="shared" si="4"/>
        <v>1098</v>
      </c>
      <c r="W14" s="716">
        <f t="shared" si="5"/>
        <v>1098</v>
      </c>
      <c r="X14" s="714"/>
      <c r="Y14" s="718">
        <v>1303</v>
      </c>
      <c r="Z14" s="720"/>
      <c r="AA14" s="720"/>
      <c r="AB14" s="720"/>
      <c r="AC14" s="716">
        <f t="shared" si="6"/>
        <v>1303</v>
      </c>
      <c r="AD14" s="716">
        <f t="shared" si="7"/>
        <v>1303</v>
      </c>
      <c r="AE14" s="714"/>
      <c r="AF14" s="718">
        <v>1245</v>
      </c>
      <c r="AG14" s="720"/>
      <c r="AH14" s="720"/>
      <c r="AI14" s="720"/>
      <c r="AJ14" s="716">
        <f t="shared" si="8"/>
        <v>1245</v>
      </c>
      <c r="AK14" s="716">
        <f t="shared" si="9"/>
        <v>1245</v>
      </c>
      <c r="AL14" s="714"/>
      <c r="AM14" s="718">
        <v>1182</v>
      </c>
      <c r="AN14" s="720"/>
      <c r="AO14" s="720"/>
      <c r="AP14" s="720"/>
      <c r="AQ14" s="716">
        <f t="shared" si="10"/>
        <v>1182</v>
      </c>
      <c r="AR14" s="716">
        <f t="shared" si="11"/>
        <v>1182</v>
      </c>
      <c r="AS14" s="714"/>
      <c r="AT14" s="718"/>
      <c r="AU14" s="720"/>
      <c r="AV14" s="720"/>
      <c r="AW14" s="720"/>
      <c r="AX14" s="716">
        <f t="shared" si="12"/>
        <v>0</v>
      </c>
      <c r="AY14" s="716">
        <f t="shared" si="13"/>
        <v>0</v>
      </c>
      <c r="AZ14" s="714"/>
      <c r="BA14" s="718"/>
      <c r="BB14" s="720"/>
      <c r="BC14" s="720"/>
      <c r="BD14" s="720"/>
      <c r="BE14" s="716">
        <f t="shared" si="14"/>
        <v>0</v>
      </c>
      <c r="BF14" s="716">
        <f t="shared" si="15"/>
        <v>0</v>
      </c>
      <c r="BG14" s="714"/>
      <c r="BH14" s="718"/>
      <c r="BI14" s="720"/>
      <c r="BJ14" s="720"/>
      <c r="BK14" s="720"/>
      <c r="BL14" s="716">
        <f t="shared" si="16"/>
        <v>0</v>
      </c>
      <c r="BM14" s="716">
        <f t="shared" si="17"/>
        <v>0</v>
      </c>
      <c r="BN14" s="714"/>
      <c r="BO14" s="718"/>
      <c r="BP14" s="720"/>
      <c r="BQ14" s="720"/>
      <c r="BR14" s="720"/>
      <c r="BS14" s="716">
        <f t="shared" si="18"/>
        <v>0</v>
      </c>
      <c r="BT14" s="716">
        <f t="shared" si="19"/>
        <v>0</v>
      </c>
      <c r="BU14" s="714"/>
      <c r="BV14" s="718"/>
      <c r="BW14" s="720"/>
      <c r="BX14" s="720"/>
      <c r="BY14" s="720"/>
      <c r="BZ14" s="716">
        <f t="shared" si="20"/>
        <v>0</v>
      </c>
      <c r="CA14" s="716">
        <f t="shared" si="21"/>
        <v>0</v>
      </c>
      <c r="CB14" s="714"/>
      <c r="CC14" s="718"/>
      <c r="CD14" s="720"/>
      <c r="CE14" s="720"/>
      <c r="CF14" s="720"/>
      <c r="CG14" s="716">
        <f t="shared" si="22"/>
        <v>0</v>
      </c>
      <c r="CH14" s="716">
        <f t="shared" si="23"/>
        <v>0</v>
      </c>
      <c r="CI14" s="714"/>
      <c r="CJ14" s="718">
        <f t="shared" si="24"/>
        <v>7648</v>
      </c>
      <c r="CK14" s="720">
        <f t="shared" si="25"/>
        <v>0</v>
      </c>
      <c r="CL14" s="720">
        <f t="shared" si="26"/>
        <v>0</v>
      </c>
      <c r="CM14" s="720">
        <f t="shared" si="27"/>
        <v>0</v>
      </c>
      <c r="CN14" s="716">
        <f t="shared" si="28"/>
        <v>7648</v>
      </c>
      <c r="CO14" s="716">
        <f t="shared" si="29"/>
        <v>7648</v>
      </c>
      <c r="CQ14" s="717">
        <f t="shared" si="30"/>
        <v>9.5008328508588119E-2</v>
      </c>
      <c r="CR14" s="717">
        <f t="shared" si="31"/>
        <v>9.731121033540735E-2</v>
      </c>
    </row>
    <row r="15" spans="1:96">
      <c r="A15" s="702" t="s">
        <v>120</v>
      </c>
      <c r="B15" s="702" t="s">
        <v>136</v>
      </c>
      <c r="C15" s="714"/>
      <c r="D15" s="718">
        <v>537</v>
      </c>
      <c r="E15" s="720"/>
      <c r="F15" s="720"/>
      <c r="G15" s="720"/>
      <c r="H15" s="716">
        <f t="shared" si="0"/>
        <v>537</v>
      </c>
      <c r="I15" s="716">
        <f t="shared" si="1"/>
        <v>537</v>
      </c>
      <c r="J15" s="714"/>
      <c r="K15" s="718">
        <v>518</v>
      </c>
      <c r="L15" s="720"/>
      <c r="M15" s="720"/>
      <c r="N15" s="720"/>
      <c r="O15" s="716">
        <f t="shared" si="2"/>
        <v>518</v>
      </c>
      <c r="P15" s="716">
        <f t="shared" si="3"/>
        <v>518</v>
      </c>
      <c r="Q15" s="714"/>
      <c r="R15" s="718">
        <v>538</v>
      </c>
      <c r="S15" s="720"/>
      <c r="T15" s="720"/>
      <c r="U15" s="720"/>
      <c r="V15" s="716">
        <f t="shared" si="4"/>
        <v>538</v>
      </c>
      <c r="W15" s="716">
        <f t="shared" si="5"/>
        <v>538</v>
      </c>
      <c r="X15" s="714"/>
      <c r="Y15" s="718">
        <v>604</v>
      </c>
      <c r="Z15" s="720"/>
      <c r="AA15" s="720"/>
      <c r="AB15" s="720"/>
      <c r="AC15" s="716">
        <f t="shared" si="6"/>
        <v>604</v>
      </c>
      <c r="AD15" s="716">
        <f t="shared" si="7"/>
        <v>604</v>
      </c>
      <c r="AE15" s="714"/>
      <c r="AF15" s="718">
        <v>505</v>
      </c>
      <c r="AG15" s="720"/>
      <c r="AH15" s="720"/>
      <c r="AI15" s="720"/>
      <c r="AJ15" s="716">
        <f t="shared" si="8"/>
        <v>505</v>
      </c>
      <c r="AK15" s="716">
        <f t="shared" si="9"/>
        <v>505</v>
      </c>
      <c r="AL15" s="714"/>
      <c r="AM15" s="718">
        <v>463</v>
      </c>
      <c r="AN15" s="720"/>
      <c r="AO15" s="720"/>
      <c r="AP15" s="720"/>
      <c r="AQ15" s="716">
        <f t="shared" si="10"/>
        <v>463</v>
      </c>
      <c r="AR15" s="716">
        <f t="shared" si="11"/>
        <v>463</v>
      </c>
      <c r="AS15" s="714"/>
      <c r="AT15" s="718"/>
      <c r="AU15" s="720"/>
      <c r="AV15" s="720"/>
      <c r="AW15" s="720"/>
      <c r="AX15" s="716">
        <f t="shared" si="12"/>
        <v>0</v>
      </c>
      <c r="AY15" s="716">
        <f t="shared" si="13"/>
        <v>0</v>
      </c>
      <c r="AZ15" s="714"/>
      <c r="BA15" s="718"/>
      <c r="BB15" s="720"/>
      <c r="BC15" s="720"/>
      <c r="BD15" s="720"/>
      <c r="BE15" s="716">
        <f t="shared" si="14"/>
        <v>0</v>
      </c>
      <c r="BF15" s="716">
        <f t="shared" si="15"/>
        <v>0</v>
      </c>
      <c r="BG15" s="714"/>
      <c r="BH15" s="718"/>
      <c r="BI15" s="720"/>
      <c r="BJ15" s="720"/>
      <c r="BK15" s="720"/>
      <c r="BL15" s="716">
        <f t="shared" si="16"/>
        <v>0</v>
      </c>
      <c r="BM15" s="716">
        <f t="shared" si="17"/>
        <v>0</v>
      </c>
      <c r="BN15" s="714"/>
      <c r="BO15" s="718"/>
      <c r="BP15" s="720"/>
      <c r="BQ15" s="720"/>
      <c r="BR15" s="720"/>
      <c r="BS15" s="716">
        <f t="shared" si="18"/>
        <v>0</v>
      </c>
      <c r="BT15" s="716">
        <f t="shared" si="19"/>
        <v>0</v>
      </c>
      <c r="BU15" s="714"/>
      <c r="BV15" s="718"/>
      <c r="BW15" s="720"/>
      <c r="BX15" s="720"/>
      <c r="BY15" s="720"/>
      <c r="BZ15" s="716">
        <f t="shared" si="20"/>
        <v>0</v>
      </c>
      <c r="CA15" s="716">
        <f t="shared" si="21"/>
        <v>0</v>
      </c>
      <c r="CB15" s="714"/>
      <c r="CC15" s="718"/>
      <c r="CD15" s="720"/>
      <c r="CE15" s="720"/>
      <c r="CF15" s="720"/>
      <c r="CG15" s="716">
        <f t="shared" si="22"/>
        <v>0</v>
      </c>
      <c r="CH15" s="716">
        <f t="shared" si="23"/>
        <v>0</v>
      </c>
      <c r="CI15" s="714"/>
      <c r="CJ15" s="718">
        <f t="shared" si="24"/>
        <v>3165</v>
      </c>
      <c r="CK15" s="720">
        <f t="shared" si="25"/>
        <v>0</v>
      </c>
      <c r="CL15" s="720">
        <f t="shared" si="26"/>
        <v>0</v>
      </c>
      <c r="CM15" s="720">
        <f t="shared" si="27"/>
        <v>0</v>
      </c>
      <c r="CN15" s="716">
        <f t="shared" si="28"/>
        <v>3165</v>
      </c>
      <c r="CO15" s="716">
        <f t="shared" si="29"/>
        <v>3165</v>
      </c>
      <c r="CQ15" s="717">
        <f t="shared" si="30"/>
        <v>3.9317646408169642E-2</v>
      </c>
      <c r="CR15" s="717">
        <f t="shared" si="31"/>
        <v>4.0270656473792403E-2</v>
      </c>
    </row>
    <row r="16" spans="1:96">
      <c r="A16" s="703" t="s">
        <v>490</v>
      </c>
      <c r="B16" s="701" t="s">
        <v>124</v>
      </c>
      <c r="C16" s="714"/>
      <c r="D16" s="718">
        <v>314</v>
      </c>
      <c r="E16" s="718"/>
      <c r="F16" s="718">
        <v>3</v>
      </c>
      <c r="G16" s="718">
        <v>6</v>
      </c>
      <c r="H16" s="715">
        <f t="shared" si="0"/>
        <v>317</v>
      </c>
      <c r="I16" s="715">
        <f t="shared" si="1"/>
        <v>320</v>
      </c>
      <c r="J16" s="714"/>
      <c r="K16" s="718">
        <v>314</v>
      </c>
      <c r="L16" s="718">
        <v>1</v>
      </c>
      <c r="M16" s="718"/>
      <c r="N16" s="718">
        <v>3</v>
      </c>
      <c r="O16" s="715">
        <f t="shared" si="2"/>
        <v>315</v>
      </c>
      <c r="P16" s="715">
        <f t="shared" si="3"/>
        <v>317</v>
      </c>
      <c r="Q16" s="714"/>
      <c r="R16" s="718">
        <v>262</v>
      </c>
      <c r="S16" s="718">
        <v>1</v>
      </c>
      <c r="T16" s="718"/>
      <c r="U16" s="718">
        <v>6</v>
      </c>
      <c r="V16" s="715">
        <f t="shared" si="4"/>
        <v>263</v>
      </c>
      <c r="W16" s="715">
        <f t="shared" si="5"/>
        <v>268</v>
      </c>
      <c r="X16" s="714"/>
      <c r="Y16" s="718">
        <v>247</v>
      </c>
      <c r="Z16" s="718">
        <v>1</v>
      </c>
      <c r="AA16" s="718"/>
      <c r="AB16" s="718">
        <v>8</v>
      </c>
      <c r="AC16" s="715">
        <f t="shared" si="6"/>
        <v>248</v>
      </c>
      <c r="AD16" s="715">
        <f t="shared" si="7"/>
        <v>255</v>
      </c>
      <c r="AE16" s="714"/>
      <c r="AF16" s="718">
        <v>207</v>
      </c>
      <c r="AG16" s="718"/>
      <c r="AH16" s="718"/>
      <c r="AI16" s="718">
        <v>2</v>
      </c>
      <c r="AJ16" s="715">
        <f t="shared" si="8"/>
        <v>207</v>
      </c>
      <c r="AK16" s="715">
        <f t="shared" si="9"/>
        <v>209</v>
      </c>
      <c r="AL16" s="714"/>
      <c r="AM16" s="718">
        <v>232</v>
      </c>
      <c r="AN16" s="718"/>
      <c r="AO16" s="718"/>
      <c r="AP16" s="718">
        <v>13</v>
      </c>
      <c r="AQ16" s="715">
        <f t="shared" si="10"/>
        <v>232</v>
      </c>
      <c r="AR16" s="715">
        <f t="shared" si="11"/>
        <v>245</v>
      </c>
      <c r="AS16" s="714"/>
      <c r="AT16" s="718"/>
      <c r="AU16" s="718"/>
      <c r="AV16" s="718"/>
      <c r="AW16" s="718"/>
      <c r="AX16" s="715">
        <f t="shared" si="12"/>
        <v>0</v>
      </c>
      <c r="AY16" s="715">
        <f t="shared" si="13"/>
        <v>0</v>
      </c>
      <c r="AZ16" s="714"/>
      <c r="BA16" s="718"/>
      <c r="BB16" s="718"/>
      <c r="BC16" s="718"/>
      <c r="BD16" s="718"/>
      <c r="BE16" s="715">
        <f t="shared" si="14"/>
        <v>0</v>
      </c>
      <c r="BF16" s="715">
        <f t="shared" si="15"/>
        <v>0</v>
      </c>
      <c r="BG16" s="714"/>
      <c r="BH16" s="718"/>
      <c r="BI16" s="718"/>
      <c r="BJ16" s="718"/>
      <c r="BK16" s="718"/>
      <c r="BL16" s="715">
        <f t="shared" si="16"/>
        <v>0</v>
      </c>
      <c r="BM16" s="715">
        <f t="shared" si="17"/>
        <v>0</v>
      </c>
      <c r="BN16" s="714"/>
      <c r="BO16" s="718"/>
      <c r="BP16" s="718"/>
      <c r="BQ16" s="718"/>
      <c r="BR16" s="718"/>
      <c r="BS16" s="715">
        <f t="shared" si="18"/>
        <v>0</v>
      </c>
      <c r="BT16" s="715">
        <f t="shared" si="19"/>
        <v>0</v>
      </c>
      <c r="BU16" s="714"/>
      <c r="BV16" s="718"/>
      <c r="BW16" s="718"/>
      <c r="BX16" s="718"/>
      <c r="BY16" s="718"/>
      <c r="BZ16" s="715">
        <f t="shared" si="20"/>
        <v>0</v>
      </c>
      <c r="CA16" s="715">
        <f t="shared" si="21"/>
        <v>0</v>
      </c>
      <c r="CB16" s="714"/>
      <c r="CC16" s="718"/>
      <c r="CD16" s="718"/>
      <c r="CE16" s="718"/>
      <c r="CF16" s="718"/>
      <c r="CG16" s="715">
        <f t="shared" si="22"/>
        <v>0</v>
      </c>
      <c r="CH16" s="715">
        <f t="shared" si="23"/>
        <v>0</v>
      </c>
      <c r="CI16" s="714"/>
      <c r="CJ16" s="718">
        <f t="shared" si="24"/>
        <v>1576</v>
      </c>
      <c r="CK16" s="718">
        <f t="shared" si="25"/>
        <v>3</v>
      </c>
      <c r="CL16" s="718">
        <f t="shared" si="26"/>
        <v>3</v>
      </c>
      <c r="CM16" s="718">
        <f t="shared" si="27"/>
        <v>38</v>
      </c>
      <c r="CN16" s="715">
        <f t="shared" si="28"/>
        <v>1582</v>
      </c>
      <c r="CO16" s="715">
        <f t="shared" si="29"/>
        <v>1614</v>
      </c>
      <c r="CQ16" s="721">
        <f t="shared" si="30"/>
        <v>1.9652611885536925E-2</v>
      </c>
      <c r="CR16" s="721">
        <f t="shared" si="31"/>
        <v>2.0536126239715936E-2</v>
      </c>
    </row>
    <row r="17" spans="1:96">
      <c r="A17" s="703" t="s">
        <v>490</v>
      </c>
      <c r="B17" s="701" t="s">
        <v>125</v>
      </c>
      <c r="C17" s="714"/>
      <c r="D17" s="718">
        <v>76</v>
      </c>
      <c r="E17" s="718"/>
      <c r="F17" s="718">
        <v>1</v>
      </c>
      <c r="G17" s="718">
        <v>1</v>
      </c>
      <c r="H17" s="715">
        <f t="shared" si="0"/>
        <v>77</v>
      </c>
      <c r="I17" s="715">
        <f t="shared" si="1"/>
        <v>77</v>
      </c>
      <c r="J17" s="714"/>
      <c r="K17" s="718">
        <v>86</v>
      </c>
      <c r="L17" s="718"/>
      <c r="M17" s="718"/>
      <c r="N17" s="718"/>
      <c r="O17" s="715">
        <f t="shared" si="2"/>
        <v>86</v>
      </c>
      <c r="P17" s="715">
        <f t="shared" si="3"/>
        <v>86</v>
      </c>
      <c r="Q17" s="714"/>
      <c r="R17" s="718">
        <v>67</v>
      </c>
      <c r="S17" s="718"/>
      <c r="T17" s="718"/>
      <c r="U17" s="718">
        <v>1</v>
      </c>
      <c r="V17" s="715">
        <f t="shared" si="4"/>
        <v>67</v>
      </c>
      <c r="W17" s="715">
        <f t="shared" si="5"/>
        <v>68</v>
      </c>
      <c r="X17" s="714"/>
      <c r="Y17" s="718">
        <v>82</v>
      </c>
      <c r="Z17" s="718"/>
      <c r="AA17" s="718"/>
      <c r="AB17" s="718"/>
      <c r="AC17" s="715">
        <f t="shared" si="6"/>
        <v>82</v>
      </c>
      <c r="AD17" s="715">
        <f t="shared" si="7"/>
        <v>82</v>
      </c>
      <c r="AE17" s="714"/>
      <c r="AF17" s="718">
        <v>45</v>
      </c>
      <c r="AG17" s="718"/>
      <c r="AH17" s="718"/>
      <c r="AI17" s="718"/>
      <c r="AJ17" s="715">
        <f t="shared" si="8"/>
        <v>45</v>
      </c>
      <c r="AK17" s="715">
        <f t="shared" si="9"/>
        <v>45</v>
      </c>
      <c r="AL17" s="714"/>
      <c r="AM17" s="718">
        <v>64.206000000000003</v>
      </c>
      <c r="AN17" s="718"/>
      <c r="AO17" s="718"/>
      <c r="AP17" s="718"/>
      <c r="AQ17" s="715">
        <f t="shared" si="10"/>
        <v>64.206000000000003</v>
      </c>
      <c r="AR17" s="715">
        <f t="shared" si="11"/>
        <v>64.206000000000003</v>
      </c>
      <c r="AS17" s="714"/>
      <c r="AT17" s="718"/>
      <c r="AU17" s="718"/>
      <c r="AV17" s="718"/>
      <c r="AW17" s="718"/>
      <c r="AX17" s="715">
        <f t="shared" si="12"/>
        <v>0</v>
      </c>
      <c r="AY17" s="715">
        <f t="shared" si="13"/>
        <v>0</v>
      </c>
      <c r="AZ17" s="714"/>
      <c r="BA17" s="718"/>
      <c r="BB17" s="718"/>
      <c r="BC17" s="718"/>
      <c r="BD17" s="718"/>
      <c r="BE17" s="715">
        <f t="shared" si="14"/>
        <v>0</v>
      </c>
      <c r="BF17" s="715">
        <f t="shared" si="15"/>
        <v>0</v>
      </c>
      <c r="BG17" s="714"/>
      <c r="BH17" s="718"/>
      <c r="BI17" s="718"/>
      <c r="BJ17" s="718"/>
      <c r="BK17" s="718"/>
      <c r="BL17" s="715">
        <f t="shared" si="16"/>
        <v>0</v>
      </c>
      <c r="BM17" s="715">
        <f t="shared" si="17"/>
        <v>0</v>
      </c>
      <c r="BN17" s="714"/>
      <c r="BO17" s="718"/>
      <c r="BP17" s="718"/>
      <c r="BQ17" s="718"/>
      <c r="BR17" s="718"/>
      <c r="BS17" s="715">
        <f t="shared" si="18"/>
        <v>0</v>
      </c>
      <c r="BT17" s="715">
        <f t="shared" si="19"/>
        <v>0</v>
      </c>
      <c r="BU17" s="714"/>
      <c r="BV17" s="718"/>
      <c r="BW17" s="718"/>
      <c r="BX17" s="718"/>
      <c r="BY17" s="718"/>
      <c r="BZ17" s="715">
        <f t="shared" si="20"/>
        <v>0</v>
      </c>
      <c r="CA17" s="715">
        <f t="shared" si="21"/>
        <v>0</v>
      </c>
      <c r="CB17" s="714"/>
      <c r="CC17" s="718"/>
      <c r="CD17" s="718"/>
      <c r="CE17" s="718"/>
      <c r="CF17" s="718"/>
      <c r="CG17" s="715">
        <f t="shared" si="22"/>
        <v>0</v>
      </c>
      <c r="CH17" s="715">
        <f t="shared" si="23"/>
        <v>0</v>
      </c>
      <c r="CI17" s="714"/>
      <c r="CJ17" s="718">
        <f t="shared" si="24"/>
        <v>420.20600000000002</v>
      </c>
      <c r="CK17" s="718">
        <f t="shared" si="25"/>
        <v>0</v>
      </c>
      <c r="CL17" s="718">
        <f t="shared" si="26"/>
        <v>1</v>
      </c>
      <c r="CM17" s="718">
        <f t="shared" si="27"/>
        <v>2</v>
      </c>
      <c r="CN17" s="715">
        <f t="shared" si="28"/>
        <v>421.20600000000002</v>
      </c>
      <c r="CO17" s="715">
        <f t="shared" si="29"/>
        <v>422.20600000000002</v>
      </c>
      <c r="CQ17" s="721">
        <f t="shared" si="30"/>
        <v>5.2324892805685631E-3</v>
      </c>
      <c r="CR17" s="721">
        <f t="shared" si="31"/>
        <v>5.3720419548733004E-3</v>
      </c>
    </row>
    <row r="18" spans="1:96">
      <c r="A18" s="703" t="s">
        <v>490</v>
      </c>
      <c r="B18" s="701" t="s">
        <v>126</v>
      </c>
      <c r="C18" s="714"/>
      <c r="D18" s="718">
        <v>177</v>
      </c>
      <c r="E18" s="718"/>
      <c r="F18" s="718"/>
      <c r="G18" s="718">
        <v>13</v>
      </c>
      <c r="H18" s="715">
        <f t="shared" si="0"/>
        <v>177</v>
      </c>
      <c r="I18" s="715">
        <f t="shared" si="1"/>
        <v>190</v>
      </c>
      <c r="J18" s="714"/>
      <c r="K18" s="718">
        <v>196</v>
      </c>
      <c r="L18" s="718"/>
      <c r="M18" s="718"/>
      <c r="N18" s="718">
        <v>16</v>
      </c>
      <c r="O18" s="715">
        <f t="shared" si="2"/>
        <v>196</v>
      </c>
      <c r="P18" s="715">
        <f t="shared" si="3"/>
        <v>212</v>
      </c>
      <c r="Q18" s="714"/>
      <c r="R18" s="718">
        <v>221</v>
      </c>
      <c r="S18" s="718"/>
      <c r="T18" s="718">
        <v>2</v>
      </c>
      <c r="U18" s="718">
        <v>14</v>
      </c>
      <c r="V18" s="715">
        <f t="shared" si="4"/>
        <v>223</v>
      </c>
      <c r="W18" s="715">
        <f t="shared" si="5"/>
        <v>235</v>
      </c>
      <c r="X18" s="714"/>
      <c r="Y18" s="718">
        <v>229</v>
      </c>
      <c r="Z18" s="718"/>
      <c r="AA18" s="718"/>
      <c r="AB18" s="718">
        <v>11</v>
      </c>
      <c r="AC18" s="715">
        <f t="shared" si="6"/>
        <v>229</v>
      </c>
      <c r="AD18" s="715">
        <f t="shared" si="7"/>
        <v>240</v>
      </c>
      <c r="AE18" s="714"/>
      <c r="AF18" s="718">
        <v>202</v>
      </c>
      <c r="AG18" s="718"/>
      <c r="AH18" s="718"/>
      <c r="AI18" s="718">
        <v>8</v>
      </c>
      <c r="AJ18" s="715">
        <f t="shared" si="8"/>
        <v>202</v>
      </c>
      <c r="AK18" s="715">
        <f t="shared" si="9"/>
        <v>210</v>
      </c>
      <c r="AL18" s="714"/>
      <c r="AM18" s="718">
        <v>206</v>
      </c>
      <c r="AN18" s="718"/>
      <c r="AO18" s="718"/>
      <c r="AP18" s="718">
        <v>10</v>
      </c>
      <c r="AQ18" s="715">
        <f t="shared" si="10"/>
        <v>206</v>
      </c>
      <c r="AR18" s="715">
        <f t="shared" si="11"/>
        <v>216</v>
      </c>
      <c r="AS18" s="714"/>
      <c r="AT18" s="718"/>
      <c r="AU18" s="718"/>
      <c r="AV18" s="718"/>
      <c r="AW18" s="718"/>
      <c r="AX18" s="715">
        <f t="shared" si="12"/>
        <v>0</v>
      </c>
      <c r="AY18" s="715">
        <f t="shared" si="13"/>
        <v>0</v>
      </c>
      <c r="AZ18" s="714"/>
      <c r="BA18" s="718"/>
      <c r="BB18" s="718"/>
      <c r="BC18" s="718"/>
      <c r="BD18" s="718"/>
      <c r="BE18" s="715">
        <f t="shared" si="14"/>
        <v>0</v>
      </c>
      <c r="BF18" s="715">
        <f t="shared" si="15"/>
        <v>0</v>
      </c>
      <c r="BG18" s="714"/>
      <c r="BH18" s="718"/>
      <c r="BI18" s="718"/>
      <c r="BJ18" s="718"/>
      <c r="BK18" s="718"/>
      <c r="BL18" s="715">
        <f t="shared" si="16"/>
        <v>0</v>
      </c>
      <c r="BM18" s="715">
        <f t="shared" si="17"/>
        <v>0</v>
      </c>
      <c r="BN18" s="714"/>
      <c r="BO18" s="718"/>
      <c r="BP18" s="718"/>
      <c r="BQ18" s="718"/>
      <c r="BR18" s="718"/>
      <c r="BS18" s="715">
        <f t="shared" si="18"/>
        <v>0</v>
      </c>
      <c r="BT18" s="715">
        <f t="shared" si="19"/>
        <v>0</v>
      </c>
      <c r="BU18" s="714"/>
      <c r="BV18" s="718"/>
      <c r="BW18" s="718"/>
      <c r="BX18" s="718"/>
      <c r="BY18" s="718"/>
      <c r="BZ18" s="715">
        <f t="shared" si="20"/>
        <v>0</v>
      </c>
      <c r="CA18" s="715">
        <f t="shared" si="21"/>
        <v>0</v>
      </c>
      <c r="CB18" s="714"/>
      <c r="CC18" s="718"/>
      <c r="CD18" s="718"/>
      <c r="CE18" s="718"/>
      <c r="CF18" s="718"/>
      <c r="CG18" s="715">
        <f t="shared" si="22"/>
        <v>0</v>
      </c>
      <c r="CH18" s="715">
        <f t="shared" si="23"/>
        <v>0</v>
      </c>
      <c r="CI18" s="714"/>
      <c r="CJ18" s="718">
        <f t="shared" si="24"/>
        <v>1231</v>
      </c>
      <c r="CK18" s="718">
        <f t="shared" si="25"/>
        <v>0</v>
      </c>
      <c r="CL18" s="718">
        <f t="shared" si="26"/>
        <v>2</v>
      </c>
      <c r="CM18" s="718">
        <f t="shared" si="27"/>
        <v>72</v>
      </c>
      <c r="CN18" s="715">
        <f t="shared" si="28"/>
        <v>1233</v>
      </c>
      <c r="CO18" s="715">
        <f t="shared" si="29"/>
        <v>1303</v>
      </c>
      <c r="CQ18" s="721">
        <f t="shared" si="30"/>
        <v>1.5317111539106846E-2</v>
      </c>
      <c r="CR18" s="721">
        <f t="shared" si="31"/>
        <v>1.6579041196003633E-2</v>
      </c>
    </row>
    <row r="19" spans="1:96">
      <c r="A19" s="703" t="s">
        <v>491</v>
      </c>
      <c r="B19" s="703" t="s">
        <v>124</v>
      </c>
      <c r="C19" s="714"/>
      <c r="D19" s="718">
        <v>13</v>
      </c>
      <c r="E19" s="718"/>
      <c r="F19" s="718"/>
      <c r="G19" s="718"/>
      <c r="H19" s="715">
        <f t="shared" ref="H19" si="47">D19+E19+F19</f>
        <v>13</v>
      </c>
      <c r="I19" s="715">
        <f t="shared" ref="I19" si="48">D19+G19</f>
        <v>13</v>
      </c>
      <c r="J19" s="714"/>
      <c r="K19" s="718">
        <v>6</v>
      </c>
      <c r="L19" s="718"/>
      <c r="M19" s="718"/>
      <c r="N19" s="718">
        <v>4</v>
      </c>
      <c r="O19" s="715">
        <f t="shared" ref="O19" si="49">K19+L19+M19</f>
        <v>6</v>
      </c>
      <c r="P19" s="715">
        <f t="shared" ref="P19" si="50">K19+N19</f>
        <v>10</v>
      </c>
      <c r="Q19" s="714"/>
      <c r="R19" s="718">
        <v>13</v>
      </c>
      <c r="S19" s="718"/>
      <c r="T19" s="718"/>
      <c r="U19" s="718">
        <v>1</v>
      </c>
      <c r="V19" s="715">
        <f t="shared" ref="V19" si="51">R19+S19+T19</f>
        <v>13</v>
      </c>
      <c r="W19" s="715">
        <f t="shared" ref="W19" si="52">R19+U19</f>
        <v>14</v>
      </c>
      <c r="X19" s="714"/>
      <c r="Y19" s="718">
        <v>17</v>
      </c>
      <c r="Z19" s="718"/>
      <c r="AA19" s="718"/>
      <c r="AB19" s="718"/>
      <c r="AC19" s="715">
        <f t="shared" ref="AC19" si="53">Y19+Z19+AA19</f>
        <v>17</v>
      </c>
      <c r="AD19" s="715">
        <f t="shared" ref="AD19" si="54">Y19+AB19</f>
        <v>17</v>
      </c>
      <c r="AE19" s="714"/>
      <c r="AF19" s="718">
        <v>14</v>
      </c>
      <c r="AG19" s="718"/>
      <c r="AH19" s="718"/>
      <c r="AI19" s="718"/>
      <c r="AJ19" s="715">
        <f t="shared" ref="AJ19" si="55">AF19+AG19+AH19</f>
        <v>14</v>
      </c>
      <c r="AK19" s="715">
        <f t="shared" ref="AK19" si="56">AF19+AI19</f>
        <v>14</v>
      </c>
      <c r="AL19" s="714"/>
      <c r="AM19" s="718">
        <v>11</v>
      </c>
      <c r="AN19" s="718"/>
      <c r="AO19" s="718"/>
      <c r="AP19" s="718">
        <v>1</v>
      </c>
      <c r="AQ19" s="715">
        <f t="shared" si="10"/>
        <v>11</v>
      </c>
      <c r="AR19" s="715">
        <f t="shared" si="11"/>
        <v>12</v>
      </c>
      <c r="AS19" s="714"/>
      <c r="AT19" s="718"/>
      <c r="AU19" s="718"/>
      <c r="AV19" s="718"/>
      <c r="AW19" s="718"/>
      <c r="AX19" s="715">
        <f t="shared" si="12"/>
        <v>0</v>
      </c>
      <c r="AY19" s="715">
        <f t="shared" si="13"/>
        <v>0</v>
      </c>
      <c r="AZ19" s="714"/>
      <c r="BA19" s="718"/>
      <c r="BB19" s="718"/>
      <c r="BC19" s="718"/>
      <c r="BD19" s="718"/>
      <c r="BE19" s="715">
        <f t="shared" si="14"/>
        <v>0</v>
      </c>
      <c r="BF19" s="715">
        <f t="shared" si="15"/>
        <v>0</v>
      </c>
      <c r="BG19" s="714"/>
      <c r="BH19" s="718"/>
      <c r="BI19" s="718"/>
      <c r="BJ19" s="718"/>
      <c r="BK19" s="718"/>
      <c r="BL19" s="715">
        <f t="shared" si="16"/>
        <v>0</v>
      </c>
      <c r="BM19" s="715">
        <f t="shared" si="17"/>
        <v>0</v>
      </c>
      <c r="BN19" s="714"/>
      <c r="BO19" s="718"/>
      <c r="BP19" s="718"/>
      <c r="BQ19" s="718"/>
      <c r="BR19" s="718"/>
      <c r="BS19" s="715">
        <f t="shared" si="18"/>
        <v>0</v>
      </c>
      <c r="BT19" s="715">
        <f t="shared" si="19"/>
        <v>0</v>
      </c>
      <c r="BU19" s="714"/>
      <c r="BV19" s="718"/>
      <c r="BW19" s="718"/>
      <c r="BX19" s="718"/>
      <c r="BY19" s="718"/>
      <c r="BZ19" s="715">
        <f t="shared" si="20"/>
        <v>0</v>
      </c>
      <c r="CA19" s="715">
        <f t="shared" si="21"/>
        <v>0</v>
      </c>
      <c r="CB19" s="714"/>
      <c r="CC19" s="718"/>
      <c r="CD19" s="718"/>
      <c r="CE19" s="718"/>
      <c r="CF19" s="718"/>
      <c r="CG19" s="715">
        <f t="shared" si="22"/>
        <v>0</v>
      </c>
      <c r="CH19" s="715">
        <f t="shared" si="23"/>
        <v>0</v>
      </c>
      <c r="CI19" s="714"/>
      <c r="CJ19" s="718">
        <f t="shared" si="24"/>
        <v>74</v>
      </c>
      <c r="CK19" s="718">
        <f t="shared" si="25"/>
        <v>0</v>
      </c>
      <c r="CL19" s="718">
        <f t="shared" si="26"/>
        <v>0</v>
      </c>
      <c r="CM19" s="718">
        <f t="shared" si="27"/>
        <v>6</v>
      </c>
      <c r="CN19" s="715">
        <f t="shared" si="28"/>
        <v>74</v>
      </c>
      <c r="CO19" s="715">
        <f t="shared" si="29"/>
        <v>80</v>
      </c>
      <c r="CQ19" s="721">
        <f t="shared" si="30"/>
        <v>9.1927514508832655E-4</v>
      </c>
      <c r="CR19" s="721">
        <f t="shared" si="31"/>
        <v>1.0178996897009138E-3</v>
      </c>
    </row>
    <row r="20" spans="1:96">
      <c r="A20" s="701" t="s">
        <v>327</v>
      </c>
      <c r="B20" s="701" t="s">
        <v>14</v>
      </c>
      <c r="C20" s="714"/>
      <c r="D20" s="718">
        <v>417</v>
      </c>
      <c r="E20" s="718">
        <v>26</v>
      </c>
      <c r="F20" s="718">
        <v>2</v>
      </c>
      <c r="G20" s="718"/>
      <c r="H20" s="715">
        <f t="shared" si="0"/>
        <v>445</v>
      </c>
      <c r="I20" s="715">
        <f t="shared" si="1"/>
        <v>417</v>
      </c>
      <c r="J20" s="714"/>
      <c r="K20" s="718">
        <v>769</v>
      </c>
      <c r="L20" s="718">
        <v>81</v>
      </c>
      <c r="M20" s="718"/>
      <c r="N20" s="718"/>
      <c r="O20" s="715">
        <f t="shared" si="2"/>
        <v>850</v>
      </c>
      <c r="P20" s="715">
        <f t="shared" si="3"/>
        <v>769</v>
      </c>
      <c r="Q20" s="714"/>
      <c r="R20" s="718">
        <v>502</v>
      </c>
      <c r="S20" s="718">
        <v>55</v>
      </c>
      <c r="T20" s="718">
        <v>7</v>
      </c>
      <c r="U20" s="718"/>
      <c r="V20" s="715">
        <f t="shared" si="4"/>
        <v>564</v>
      </c>
      <c r="W20" s="715">
        <f t="shared" si="5"/>
        <v>502</v>
      </c>
      <c r="X20" s="714"/>
      <c r="Y20" s="718">
        <v>866</v>
      </c>
      <c r="Z20" s="718">
        <v>136</v>
      </c>
      <c r="AA20" s="718">
        <v>6</v>
      </c>
      <c r="AB20" s="718"/>
      <c r="AC20" s="715">
        <f t="shared" si="6"/>
        <v>1008</v>
      </c>
      <c r="AD20" s="715">
        <f t="shared" si="7"/>
        <v>866</v>
      </c>
      <c r="AE20" s="714"/>
      <c r="AF20" s="718">
        <v>644</v>
      </c>
      <c r="AG20" s="718">
        <v>130</v>
      </c>
      <c r="AH20" s="718">
        <v>6</v>
      </c>
      <c r="AI20" s="718"/>
      <c r="AJ20" s="715">
        <f t="shared" si="8"/>
        <v>780</v>
      </c>
      <c r="AK20" s="715">
        <f t="shared" si="9"/>
        <v>644</v>
      </c>
      <c r="AL20" s="714"/>
      <c r="AM20" s="718">
        <v>505</v>
      </c>
      <c r="AN20" s="718">
        <v>70</v>
      </c>
      <c r="AO20" s="718">
        <v>4</v>
      </c>
      <c r="AP20" s="718"/>
      <c r="AQ20" s="715">
        <f t="shared" si="10"/>
        <v>579</v>
      </c>
      <c r="AR20" s="715">
        <f t="shared" si="11"/>
        <v>505</v>
      </c>
      <c r="AS20" s="714"/>
      <c r="AT20" s="718"/>
      <c r="AU20" s="718"/>
      <c r="AV20" s="718"/>
      <c r="AW20" s="718"/>
      <c r="AX20" s="715">
        <f t="shared" si="12"/>
        <v>0</v>
      </c>
      <c r="AY20" s="715">
        <f t="shared" si="13"/>
        <v>0</v>
      </c>
      <c r="AZ20" s="714"/>
      <c r="BA20" s="718"/>
      <c r="BB20" s="718"/>
      <c r="BC20" s="718"/>
      <c r="BD20" s="718"/>
      <c r="BE20" s="715">
        <f t="shared" si="14"/>
        <v>0</v>
      </c>
      <c r="BF20" s="715">
        <f t="shared" si="15"/>
        <v>0</v>
      </c>
      <c r="BG20" s="714"/>
      <c r="BH20" s="718"/>
      <c r="BI20" s="718"/>
      <c r="BJ20" s="718"/>
      <c r="BK20" s="718"/>
      <c r="BL20" s="715">
        <f t="shared" si="16"/>
        <v>0</v>
      </c>
      <c r="BM20" s="715">
        <f t="shared" si="17"/>
        <v>0</v>
      </c>
      <c r="BN20" s="714"/>
      <c r="BO20" s="718"/>
      <c r="BP20" s="718"/>
      <c r="BQ20" s="718"/>
      <c r="BR20" s="718"/>
      <c r="BS20" s="715">
        <f t="shared" si="18"/>
        <v>0</v>
      </c>
      <c r="BT20" s="715">
        <f t="shared" si="19"/>
        <v>0</v>
      </c>
      <c r="BU20" s="714"/>
      <c r="BV20" s="718"/>
      <c r="BW20" s="718"/>
      <c r="BX20" s="718"/>
      <c r="BY20" s="718"/>
      <c r="BZ20" s="715">
        <f t="shared" si="20"/>
        <v>0</v>
      </c>
      <c r="CA20" s="715">
        <f t="shared" si="21"/>
        <v>0</v>
      </c>
      <c r="CB20" s="714"/>
      <c r="CC20" s="718"/>
      <c r="CD20" s="718"/>
      <c r="CE20" s="718"/>
      <c r="CF20" s="718"/>
      <c r="CG20" s="715">
        <f t="shared" si="22"/>
        <v>0</v>
      </c>
      <c r="CH20" s="715">
        <f t="shared" si="23"/>
        <v>0</v>
      </c>
      <c r="CI20" s="714"/>
      <c r="CJ20" s="718">
        <f t="shared" si="24"/>
        <v>3703</v>
      </c>
      <c r="CK20" s="718">
        <f t="shared" si="25"/>
        <v>498</v>
      </c>
      <c r="CL20" s="718">
        <f t="shared" si="26"/>
        <v>25</v>
      </c>
      <c r="CM20" s="718">
        <f t="shared" si="27"/>
        <v>0</v>
      </c>
      <c r="CN20" s="715">
        <f t="shared" si="28"/>
        <v>4226</v>
      </c>
      <c r="CO20" s="715">
        <f t="shared" si="29"/>
        <v>3703</v>
      </c>
      <c r="CQ20" s="721">
        <f t="shared" si="30"/>
        <v>5.2498064366800913E-2</v>
      </c>
      <c r="CR20" s="721">
        <f t="shared" si="31"/>
        <v>4.7116031887031048E-2</v>
      </c>
    </row>
    <row r="21" spans="1:96">
      <c r="A21" s="701" t="s">
        <v>122</v>
      </c>
      <c r="B21" s="701" t="s">
        <v>22</v>
      </c>
      <c r="C21" s="714"/>
      <c r="D21" s="718">
        <v>8</v>
      </c>
      <c r="E21" s="718"/>
      <c r="F21" s="718"/>
      <c r="G21" s="718">
        <v>8</v>
      </c>
      <c r="H21" s="715">
        <f t="shared" si="0"/>
        <v>8</v>
      </c>
      <c r="I21" s="715">
        <f t="shared" si="1"/>
        <v>16</v>
      </c>
      <c r="J21" s="714"/>
      <c r="K21" s="718">
        <v>2</v>
      </c>
      <c r="L21" s="718"/>
      <c r="M21" s="718"/>
      <c r="N21" s="718">
        <v>4</v>
      </c>
      <c r="O21" s="715">
        <f t="shared" si="2"/>
        <v>2</v>
      </c>
      <c r="P21" s="715">
        <f t="shared" si="3"/>
        <v>6</v>
      </c>
      <c r="Q21" s="714"/>
      <c r="R21" s="718">
        <v>7</v>
      </c>
      <c r="S21" s="718"/>
      <c r="T21" s="718"/>
      <c r="U21" s="718">
        <v>6</v>
      </c>
      <c r="V21" s="715">
        <f t="shared" si="4"/>
        <v>7</v>
      </c>
      <c r="W21" s="715">
        <f t="shared" si="5"/>
        <v>13</v>
      </c>
      <c r="X21" s="714"/>
      <c r="Y21" s="718">
        <v>11</v>
      </c>
      <c r="Z21" s="718"/>
      <c r="AA21" s="718"/>
      <c r="AB21" s="718">
        <v>5</v>
      </c>
      <c r="AC21" s="715">
        <f t="shared" si="6"/>
        <v>11</v>
      </c>
      <c r="AD21" s="715">
        <f t="shared" si="7"/>
        <v>16</v>
      </c>
      <c r="AE21" s="714"/>
      <c r="AF21" s="718">
        <v>8</v>
      </c>
      <c r="AG21" s="718"/>
      <c r="AH21" s="718"/>
      <c r="AI21" s="718">
        <v>3</v>
      </c>
      <c r="AJ21" s="715">
        <f t="shared" si="8"/>
        <v>8</v>
      </c>
      <c r="AK21" s="715">
        <f t="shared" si="9"/>
        <v>11</v>
      </c>
      <c r="AL21" s="714"/>
      <c r="AM21" s="718">
        <v>8</v>
      </c>
      <c r="AN21" s="718"/>
      <c r="AO21" s="718"/>
      <c r="AP21" s="718">
        <v>1</v>
      </c>
      <c r="AQ21" s="715">
        <f t="shared" si="10"/>
        <v>8</v>
      </c>
      <c r="AR21" s="715">
        <f t="shared" si="11"/>
        <v>9</v>
      </c>
      <c r="AS21" s="714"/>
      <c r="AT21" s="718"/>
      <c r="AU21" s="718"/>
      <c r="AV21" s="718"/>
      <c r="AW21" s="718"/>
      <c r="AX21" s="715">
        <f t="shared" si="12"/>
        <v>0</v>
      </c>
      <c r="AY21" s="715">
        <f t="shared" si="13"/>
        <v>0</v>
      </c>
      <c r="AZ21" s="714"/>
      <c r="BA21" s="718"/>
      <c r="BB21" s="718"/>
      <c r="BC21" s="718"/>
      <c r="BD21" s="718"/>
      <c r="BE21" s="715">
        <f t="shared" si="14"/>
        <v>0</v>
      </c>
      <c r="BF21" s="715">
        <f t="shared" si="15"/>
        <v>0</v>
      </c>
      <c r="BG21" s="714"/>
      <c r="BH21" s="718"/>
      <c r="BI21" s="718"/>
      <c r="BJ21" s="718"/>
      <c r="BK21" s="718"/>
      <c r="BL21" s="715">
        <f t="shared" si="16"/>
        <v>0</v>
      </c>
      <c r="BM21" s="715">
        <f t="shared" si="17"/>
        <v>0</v>
      </c>
      <c r="BN21" s="714"/>
      <c r="BO21" s="718"/>
      <c r="BP21" s="718"/>
      <c r="BQ21" s="718"/>
      <c r="BR21" s="718"/>
      <c r="BS21" s="715">
        <f t="shared" si="18"/>
        <v>0</v>
      </c>
      <c r="BT21" s="715">
        <f t="shared" si="19"/>
        <v>0</v>
      </c>
      <c r="BU21" s="714"/>
      <c r="BV21" s="718"/>
      <c r="BW21" s="718"/>
      <c r="BX21" s="718"/>
      <c r="BY21" s="718"/>
      <c r="BZ21" s="715">
        <f t="shared" si="20"/>
        <v>0</v>
      </c>
      <c r="CA21" s="715">
        <f t="shared" si="21"/>
        <v>0</v>
      </c>
      <c r="CB21" s="714"/>
      <c r="CC21" s="718"/>
      <c r="CD21" s="718"/>
      <c r="CE21" s="718"/>
      <c r="CF21" s="718"/>
      <c r="CG21" s="715">
        <f t="shared" si="22"/>
        <v>0</v>
      </c>
      <c r="CH21" s="715">
        <f t="shared" si="23"/>
        <v>0</v>
      </c>
      <c r="CI21" s="714"/>
      <c r="CJ21" s="718">
        <f t="shared" si="24"/>
        <v>44</v>
      </c>
      <c r="CK21" s="718">
        <f t="shared" si="25"/>
        <v>0</v>
      </c>
      <c r="CL21" s="718">
        <f t="shared" si="26"/>
        <v>0</v>
      </c>
      <c r="CM21" s="718">
        <f t="shared" si="27"/>
        <v>27</v>
      </c>
      <c r="CN21" s="715">
        <f t="shared" si="28"/>
        <v>44</v>
      </c>
      <c r="CO21" s="715">
        <f t="shared" si="29"/>
        <v>71</v>
      </c>
      <c r="CQ21" s="721">
        <f t="shared" si="30"/>
        <v>5.4659603221468057E-4</v>
      </c>
      <c r="CR21" s="721">
        <f t="shared" si="31"/>
        <v>9.0338597460956095E-4</v>
      </c>
    </row>
    <row r="22" spans="1:96">
      <c r="A22" s="701" t="s">
        <v>95</v>
      </c>
      <c r="B22" s="701" t="s">
        <v>14</v>
      </c>
      <c r="C22" s="714"/>
      <c r="D22" s="718">
        <v>255</v>
      </c>
      <c r="E22" s="718"/>
      <c r="F22" s="718">
        <v>1</v>
      </c>
      <c r="G22" s="718">
        <v>1</v>
      </c>
      <c r="H22" s="715">
        <f t="shared" si="0"/>
        <v>256</v>
      </c>
      <c r="I22" s="715">
        <f t="shared" si="1"/>
        <v>256</v>
      </c>
      <c r="J22" s="714"/>
      <c r="K22" s="718">
        <v>273</v>
      </c>
      <c r="L22" s="718"/>
      <c r="M22" s="718"/>
      <c r="N22" s="718">
        <v>1</v>
      </c>
      <c r="O22" s="715">
        <f t="shared" si="2"/>
        <v>273</v>
      </c>
      <c r="P22" s="715">
        <f t="shared" si="3"/>
        <v>274</v>
      </c>
      <c r="Q22" s="714"/>
      <c r="R22" s="718">
        <v>247</v>
      </c>
      <c r="S22" s="718">
        <v>1</v>
      </c>
      <c r="T22" s="718">
        <v>2</v>
      </c>
      <c r="U22" s="718">
        <v>1</v>
      </c>
      <c r="V22" s="715">
        <f t="shared" si="4"/>
        <v>250</v>
      </c>
      <c r="W22" s="715">
        <f t="shared" si="5"/>
        <v>248</v>
      </c>
      <c r="X22" s="714"/>
      <c r="Y22" s="718">
        <v>258</v>
      </c>
      <c r="Z22" s="718"/>
      <c r="AA22" s="718">
        <v>1</v>
      </c>
      <c r="AB22" s="718">
        <v>1</v>
      </c>
      <c r="AC22" s="715">
        <f t="shared" si="6"/>
        <v>259</v>
      </c>
      <c r="AD22" s="715">
        <f t="shared" si="7"/>
        <v>259</v>
      </c>
      <c r="AE22" s="714"/>
      <c r="AF22" s="718">
        <v>197</v>
      </c>
      <c r="AG22" s="718"/>
      <c r="AH22" s="718"/>
      <c r="AI22" s="718">
        <v>1</v>
      </c>
      <c r="AJ22" s="715">
        <f t="shared" si="8"/>
        <v>197</v>
      </c>
      <c r="AK22" s="715">
        <f t="shared" si="9"/>
        <v>198</v>
      </c>
      <c r="AL22" s="714"/>
      <c r="AM22" s="718">
        <v>224</v>
      </c>
      <c r="AN22" s="718"/>
      <c r="AO22" s="718"/>
      <c r="AP22" s="718"/>
      <c r="AQ22" s="715">
        <f t="shared" si="10"/>
        <v>224</v>
      </c>
      <c r="AR22" s="715">
        <f t="shared" si="11"/>
        <v>224</v>
      </c>
      <c r="AS22" s="714"/>
      <c r="AT22" s="718"/>
      <c r="AU22" s="718"/>
      <c r="AV22" s="718"/>
      <c r="AW22" s="718"/>
      <c r="AX22" s="715">
        <f t="shared" si="12"/>
        <v>0</v>
      </c>
      <c r="AY22" s="715">
        <f t="shared" si="13"/>
        <v>0</v>
      </c>
      <c r="AZ22" s="714"/>
      <c r="BA22" s="718"/>
      <c r="BB22" s="718"/>
      <c r="BC22" s="718"/>
      <c r="BD22" s="718"/>
      <c r="BE22" s="715">
        <f t="shared" si="14"/>
        <v>0</v>
      </c>
      <c r="BF22" s="715">
        <f t="shared" si="15"/>
        <v>0</v>
      </c>
      <c r="BG22" s="714"/>
      <c r="BH22" s="718"/>
      <c r="BI22" s="718"/>
      <c r="BJ22" s="718"/>
      <c r="BK22" s="718"/>
      <c r="BL22" s="715">
        <f t="shared" si="16"/>
        <v>0</v>
      </c>
      <c r="BM22" s="715">
        <f t="shared" si="17"/>
        <v>0</v>
      </c>
      <c r="BN22" s="714"/>
      <c r="BO22" s="718"/>
      <c r="BP22" s="718"/>
      <c r="BQ22" s="718"/>
      <c r="BR22" s="718"/>
      <c r="BS22" s="715">
        <f t="shared" si="18"/>
        <v>0</v>
      </c>
      <c r="BT22" s="715">
        <f t="shared" si="19"/>
        <v>0</v>
      </c>
      <c r="BU22" s="714"/>
      <c r="BV22" s="718"/>
      <c r="BW22" s="718"/>
      <c r="BX22" s="718"/>
      <c r="BY22" s="718"/>
      <c r="BZ22" s="715">
        <f t="shared" si="20"/>
        <v>0</v>
      </c>
      <c r="CA22" s="715">
        <f t="shared" si="21"/>
        <v>0</v>
      </c>
      <c r="CB22" s="714"/>
      <c r="CC22" s="718"/>
      <c r="CD22" s="718"/>
      <c r="CE22" s="718"/>
      <c r="CF22" s="718"/>
      <c r="CG22" s="715">
        <f t="shared" si="22"/>
        <v>0</v>
      </c>
      <c r="CH22" s="715">
        <f t="shared" si="23"/>
        <v>0</v>
      </c>
      <c r="CI22" s="714"/>
      <c r="CJ22" s="718">
        <f t="shared" si="24"/>
        <v>1454</v>
      </c>
      <c r="CK22" s="718">
        <f t="shared" si="25"/>
        <v>1</v>
      </c>
      <c r="CL22" s="718">
        <f t="shared" si="26"/>
        <v>4</v>
      </c>
      <c r="CM22" s="718">
        <f t="shared" si="27"/>
        <v>5</v>
      </c>
      <c r="CN22" s="715">
        <f t="shared" si="28"/>
        <v>1459</v>
      </c>
      <c r="CO22" s="715">
        <f t="shared" si="29"/>
        <v>1459</v>
      </c>
      <c r="CQ22" s="721">
        <f t="shared" si="30"/>
        <v>1.8124627522754979E-2</v>
      </c>
      <c r="CR22" s="721">
        <f t="shared" si="31"/>
        <v>1.8563945590920415E-2</v>
      </c>
    </row>
    <row r="23" spans="1:96">
      <c r="A23" s="701" t="s">
        <v>131</v>
      </c>
      <c r="B23" s="701" t="s">
        <v>23</v>
      </c>
      <c r="C23" s="714"/>
      <c r="D23" s="718"/>
      <c r="E23" s="718"/>
      <c r="F23" s="718"/>
      <c r="G23" s="718"/>
      <c r="H23" s="715">
        <f t="shared" si="0"/>
        <v>0</v>
      </c>
      <c r="I23" s="715">
        <f t="shared" si="1"/>
        <v>0</v>
      </c>
      <c r="J23" s="714"/>
      <c r="K23" s="718"/>
      <c r="L23" s="718"/>
      <c r="M23" s="718"/>
      <c r="N23" s="718"/>
      <c r="O23" s="715">
        <f t="shared" si="2"/>
        <v>0</v>
      </c>
      <c r="P23" s="715">
        <f t="shared" si="3"/>
        <v>0</v>
      </c>
      <c r="Q23" s="714"/>
      <c r="R23" s="718"/>
      <c r="S23" s="718"/>
      <c r="T23" s="718"/>
      <c r="U23" s="718"/>
      <c r="V23" s="715">
        <f t="shared" si="4"/>
        <v>0</v>
      </c>
      <c r="W23" s="715">
        <f t="shared" si="5"/>
        <v>0</v>
      </c>
      <c r="X23" s="714"/>
      <c r="Y23" s="718"/>
      <c r="Z23" s="718"/>
      <c r="AA23" s="718"/>
      <c r="AB23" s="718"/>
      <c r="AC23" s="715">
        <f t="shared" si="6"/>
        <v>0</v>
      </c>
      <c r="AD23" s="715">
        <f t="shared" si="7"/>
        <v>0</v>
      </c>
      <c r="AE23" s="714"/>
      <c r="AF23" s="718"/>
      <c r="AG23" s="718"/>
      <c r="AH23" s="718"/>
      <c r="AI23" s="718"/>
      <c r="AJ23" s="715">
        <f t="shared" si="8"/>
        <v>0</v>
      </c>
      <c r="AK23" s="715">
        <f t="shared" si="9"/>
        <v>0</v>
      </c>
      <c r="AL23" s="714"/>
      <c r="AM23" s="718"/>
      <c r="AN23" s="718"/>
      <c r="AO23" s="718"/>
      <c r="AP23" s="718"/>
      <c r="AQ23" s="715">
        <f t="shared" si="10"/>
        <v>0</v>
      </c>
      <c r="AR23" s="715">
        <f t="shared" si="11"/>
        <v>0</v>
      </c>
      <c r="AS23" s="714"/>
      <c r="AT23" s="718"/>
      <c r="AU23" s="718"/>
      <c r="AV23" s="718"/>
      <c r="AW23" s="718"/>
      <c r="AX23" s="715">
        <f t="shared" si="12"/>
        <v>0</v>
      </c>
      <c r="AY23" s="715">
        <f t="shared" si="13"/>
        <v>0</v>
      </c>
      <c r="AZ23" s="714"/>
      <c r="BA23" s="718"/>
      <c r="BB23" s="718"/>
      <c r="BC23" s="718"/>
      <c r="BD23" s="718"/>
      <c r="BE23" s="715">
        <f t="shared" si="14"/>
        <v>0</v>
      </c>
      <c r="BF23" s="715">
        <f t="shared" si="15"/>
        <v>0</v>
      </c>
      <c r="BG23" s="714"/>
      <c r="BH23" s="718"/>
      <c r="BI23" s="718"/>
      <c r="BJ23" s="718"/>
      <c r="BK23" s="718"/>
      <c r="BL23" s="715">
        <f t="shared" si="16"/>
        <v>0</v>
      </c>
      <c r="BM23" s="715">
        <f t="shared" si="17"/>
        <v>0</v>
      </c>
      <c r="BN23" s="714"/>
      <c r="BO23" s="718"/>
      <c r="BP23" s="718"/>
      <c r="BQ23" s="718"/>
      <c r="BR23" s="718"/>
      <c r="BS23" s="715">
        <f t="shared" si="18"/>
        <v>0</v>
      </c>
      <c r="BT23" s="715">
        <f t="shared" si="19"/>
        <v>0</v>
      </c>
      <c r="BU23" s="714"/>
      <c r="BV23" s="718"/>
      <c r="BW23" s="718"/>
      <c r="BX23" s="718"/>
      <c r="BY23" s="718"/>
      <c r="BZ23" s="715">
        <f t="shared" si="20"/>
        <v>0</v>
      </c>
      <c r="CA23" s="715">
        <f t="shared" si="21"/>
        <v>0</v>
      </c>
      <c r="CB23" s="714"/>
      <c r="CC23" s="718"/>
      <c r="CD23" s="718"/>
      <c r="CE23" s="718"/>
      <c r="CF23" s="718"/>
      <c r="CG23" s="715">
        <f t="shared" si="22"/>
        <v>0</v>
      </c>
      <c r="CH23" s="715">
        <f t="shared" si="23"/>
        <v>0</v>
      </c>
      <c r="CI23" s="714"/>
      <c r="CJ23" s="718">
        <f t="shared" si="24"/>
        <v>0</v>
      </c>
      <c r="CK23" s="718">
        <f t="shared" si="25"/>
        <v>0</v>
      </c>
      <c r="CL23" s="718">
        <f t="shared" si="26"/>
        <v>0</v>
      </c>
      <c r="CM23" s="718">
        <f t="shared" si="27"/>
        <v>0</v>
      </c>
      <c r="CN23" s="715">
        <f t="shared" si="28"/>
        <v>0</v>
      </c>
      <c r="CO23" s="715">
        <f t="shared" si="29"/>
        <v>0</v>
      </c>
      <c r="CQ23" s="721">
        <f t="shared" si="30"/>
        <v>0</v>
      </c>
      <c r="CR23" s="721">
        <f t="shared" si="31"/>
        <v>0</v>
      </c>
    </row>
    <row r="24" spans="1:96">
      <c r="A24" s="701" t="s">
        <v>107</v>
      </c>
      <c r="B24" s="701" t="s">
        <v>14</v>
      </c>
      <c r="C24" s="714"/>
      <c r="D24" s="718">
        <v>16</v>
      </c>
      <c r="E24" s="718"/>
      <c r="F24" s="718"/>
      <c r="G24" s="718"/>
      <c r="H24" s="715">
        <f t="shared" si="0"/>
        <v>16</v>
      </c>
      <c r="I24" s="715">
        <f t="shared" si="1"/>
        <v>16</v>
      </c>
      <c r="J24" s="714"/>
      <c r="K24" s="718">
        <v>2</v>
      </c>
      <c r="L24" s="718"/>
      <c r="M24" s="718"/>
      <c r="N24" s="718"/>
      <c r="O24" s="715">
        <f t="shared" si="2"/>
        <v>2</v>
      </c>
      <c r="P24" s="715">
        <f t="shared" si="3"/>
        <v>2</v>
      </c>
      <c r="Q24" s="714"/>
      <c r="R24" s="718"/>
      <c r="S24" s="718"/>
      <c r="T24" s="718"/>
      <c r="U24" s="718"/>
      <c r="V24" s="715">
        <f t="shared" si="4"/>
        <v>0</v>
      </c>
      <c r="W24" s="715">
        <f t="shared" si="5"/>
        <v>0</v>
      </c>
      <c r="X24" s="714"/>
      <c r="Y24" s="718">
        <v>5</v>
      </c>
      <c r="Z24" s="718"/>
      <c r="AA24" s="718"/>
      <c r="AB24" s="718"/>
      <c r="AC24" s="715">
        <f t="shared" si="6"/>
        <v>5</v>
      </c>
      <c r="AD24" s="715">
        <f t="shared" si="7"/>
        <v>5</v>
      </c>
      <c r="AE24" s="714"/>
      <c r="AF24" s="718">
        <v>7</v>
      </c>
      <c r="AG24" s="718"/>
      <c r="AH24" s="718"/>
      <c r="AI24" s="718"/>
      <c r="AJ24" s="715">
        <f t="shared" si="8"/>
        <v>7</v>
      </c>
      <c r="AK24" s="715">
        <f t="shared" si="9"/>
        <v>7</v>
      </c>
      <c r="AL24" s="714"/>
      <c r="AM24" s="718">
        <v>6</v>
      </c>
      <c r="AN24" s="718"/>
      <c r="AO24" s="718"/>
      <c r="AP24" s="718">
        <v>1</v>
      </c>
      <c r="AQ24" s="715">
        <f t="shared" si="10"/>
        <v>6</v>
      </c>
      <c r="AR24" s="715">
        <f t="shared" si="11"/>
        <v>7</v>
      </c>
      <c r="AS24" s="714"/>
      <c r="AT24" s="718"/>
      <c r="AU24" s="718"/>
      <c r="AV24" s="718"/>
      <c r="AW24" s="718"/>
      <c r="AX24" s="715">
        <f t="shared" si="12"/>
        <v>0</v>
      </c>
      <c r="AY24" s="715">
        <f t="shared" si="13"/>
        <v>0</v>
      </c>
      <c r="AZ24" s="714"/>
      <c r="BA24" s="718"/>
      <c r="BB24" s="718"/>
      <c r="BC24" s="718"/>
      <c r="BD24" s="718"/>
      <c r="BE24" s="715">
        <f t="shared" si="14"/>
        <v>0</v>
      </c>
      <c r="BF24" s="715">
        <f t="shared" si="15"/>
        <v>0</v>
      </c>
      <c r="BG24" s="714"/>
      <c r="BH24" s="718"/>
      <c r="BI24" s="718"/>
      <c r="BJ24" s="718"/>
      <c r="BK24" s="718"/>
      <c r="BL24" s="715">
        <f t="shared" si="16"/>
        <v>0</v>
      </c>
      <c r="BM24" s="715">
        <f t="shared" si="17"/>
        <v>0</v>
      </c>
      <c r="BN24" s="714"/>
      <c r="BO24" s="718"/>
      <c r="BP24" s="718"/>
      <c r="BQ24" s="718"/>
      <c r="BR24" s="718"/>
      <c r="BS24" s="715">
        <f t="shared" si="18"/>
        <v>0</v>
      </c>
      <c r="BT24" s="715">
        <f t="shared" si="19"/>
        <v>0</v>
      </c>
      <c r="BU24" s="714"/>
      <c r="BV24" s="718"/>
      <c r="BW24" s="718"/>
      <c r="BX24" s="718"/>
      <c r="BY24" s="718"/>
      <c r="BZ24" s="715">
        <f t="shared" si="20"/>
        <v>0</v>
      </c>
      <c r="CA24" s="715">
        <f t="shared" si="21"/>
        <v>0</v>
      </c>
      <c r="CB24" s="714"/>
      <c r="CC24" s="718"/>
      <c r="CD24" s="718"/>
      <c r="CE24" s="718"/>
      <c r="CF24" s="718"/>
      <c r="CG24" s="715">
        <f t="shared" si="22"/>
        <v>0</v>
      </c>
      <c r="CH24" s="715">
        <f t="shared" si="23"/>
        <v>0</v>
      </c>
      <c r="CI24" s="714"/>
      <c r="CJ24" s="718">
        <f t="shared" si="24"/>
        <v>36</v>
      </c>
      <c r="CK24" s="718">
        <f t="shared" si="25"/>
        <v>0</v>
      </c>
      <c r="CL24" s="718">
        <f t="shared" si="26"/>
        <v>0</v>
      </c>
      <c r="CM24" s="718">
        <f t="shared" si="27"/>
        <v>1</v>
      </c>
      <c r="CN24" s="715">
        <f t="shared" si="28"/>
        <v>36</v>
      </c>
      <c r="CO24" s="715">
        <f t="shared" si="29"/>
        <v>37</v>
      </c>
      <c r="CQ24" s="721">
        <f t="shared" si="30"/>
        <v>4.4721493544837504E-4</v>
      </c>
      <c r="CR24" s="721">
        <f t="shared" si="31"/>
        <v>4.7077860648667261E-4</v>
      </c>
    </row>
    <row r="25" spans="1:96">
      <c r="A25" s="701" t="s">
        <v>259</v>
      </c>
      <c r="B25" s="701" t="s">
        <v>14</v>
      </c>
      <c r="C25" s="714"/>
      <c r="D25" s="718">
        <v>123</v>
      </c>
      <c r="E25" s="718"/>
      <c r="F25" s="718"/>
      <c r="G25" s="718">
        <v>15</v>
      </c>
      <c r="H25" s="715">
        <f t="shared" ref="H25" si="57">D25+E25+F25</f>
        <v>123</v>
      </c>
      <c r="I25" s="715">
        <f t="shared" ref="I25" si="58">D25+G25</f>
        <v>138</v>
      </c>
      <c r="J25" s="714"/>
      <c r="K25" s="718">
        <v>102</v>
      </c>
      <c r="L25" s="718"/>
      <c r="M25" s="718"/>
      <c r="N25" s="718">
        <v>31</v>
      </c>
      <c r="O25" s="715">
        <f t="shared" ref="O25" si="59">K25+L25+M25</f>
        <v>102</v>
      </c>
      <c r="P25" s="715">
        <f t="shared" ref="P25" si="60">K25+N25</f>
        <v>133</v>
      </c>
      <c r="Q25" s="714"/>
      <c r="R25" s="718">
        <v>79</v>
      </c>
      <c r="S25" s="718"/>
      <c r="T25" s="718">
        <v>2</v>
      </c>
      <c r="U25" s="718">
        <v>35</v>
      </c>
      <c r="V25" s="715">
        <f t="shared" ref="V25" si="61">R25+S25+T25</f>
        <v>81</v>
      </c>
      <c r="W25" s="715">
        <f t="shared" ref="W25" si="62">R25+U25</f>
        <v>114</v>
      </c>
      <c r="X25" s="714"/>
      <c r="Y25" s="718">
        <v>102</v>
      </c>
      <c r="Z25" s="718"/>
      <c r="AA25" s="718"/>
      <c r="AB25" s="718">
        <v>29</v>
      </c>
      <c r="AC25" s="715">
        <f t="shared" ref="AC25" si="63">Y25+Z25+AA25</f>
        <v>102</v>
      </c>
      <c r="AD25" s="715">
        <f t="shared" ref="AD25" si="64">Y25+AB25</f>
        <v>131</v>
      </c>
      <c r="AE25" s="714"/>
      <c r="AF25" s="718">
        <v>102</v>
      </c>
      <c r="AG25" s="718"/>
      <c r="AH25" s="718">
        <v>2</v>
      </c>
      <c r="AI25" s="718">
        <v>17</v>
      </c>
      <c r="AJ25" s="715">
        <f t="shared" ref="AJ25" si="65">AF25+AG25+AH25</f>
        <v>104</v>
      </c>
      <c r="AK25" s="715">
        <f t="shared" ref="AK25" si="66">AF25+AI25</f>
        <v>119</v>
      </c>
      <c r="AL25" s="714"/>
      <c r="AM25" s="718">
        <v>124</v>
      </c>
      <c r="AN25" s="718"/>
      <c r="AO25" s="718"/>
      <c r="AP25" s="718">
        <v>32</v>
      </c>
      <c r="AQ25" s="715">
        <f t="shared" ref="AQ25" si="67">AM25+AN25+AO25</f>
        <v>124</v>
      </c>
      <c r="AR25" s="715">
        <f t="shared" ref="AR25" si="68">AM25+AP25</f>
        <v>156</v>
      </c>
      <c r="AS25" s="714"/>
      <c r="AT25" s="718"/>
      <c r="AU25" s="718"/>
      <c r="AV25" s="718"/>
      <c r="AW25" s="718"/>
      <c r="AX25" s="715">
        <f t="shared" ref="AX25" si="69">AT25+AU25+AV25</f>
        <v>0</v>
      </c>
      <c r="AY25" s="715">
        <f t="shared" ref="AY25" si="70">AT25+AW25</f>
        <v>0</v>
      </c>
      <c r="AZ25" s="714"/>
      <c r="BA25" s="718"/>
      <c r="BB25" s="718"/>
      <c r="BC25" s="718"/>
      <c r="BD25" s="718"/>
      <c r="BE25" s="715">
        <f t="shared" ref="BE25" si="71">BA25+BB25+BC25</f>
        <v>0</v>
      </c>
      <c r="BF25" s="715">
        <f t="shared" ref="BF25" si="72">BA25+BD25</f>
        <v>0</v>
      </c>
      <c r="BG25" s="714"/>
      <c r="BH25" s="718"/>
      <c r="BI25" s="718"/>
      <c r="BJ25" s="718"/>
      <c r="BK25" s="718"/>
      <c r="BL25" s="715">
        <f t="shared" ref="BL25" si="73">BH25+BI25+BJ25</f>
        <v>0</v>
      </c>
      <c r="BM25" s="715">
        <f t="shared" ref="BM25" si="74">BH25+BK25</f>
        <v>0</v>
      </c>
      <c r="BN25" s="714"/>
      <c r="BO25" s="718"/>
      <c r="BP25" s="718"/>
      <c r="BQ25" s="718"/>
      <c r="BR25" s="718"/>
      <c r="BS25" s="715">
        <f t="shared" ref="BS25" si="75">BO25+BP25+BQ25</f>
        <v>0</v>
      </c>
      <c r="BT25" s="715">
        <f t="shared" ref="BT25" si="76">BO25+BR25</f>
        <v>0</v>
      </c>
      <c r="BU25" s="714"/>
      <c r="BV25" s="718"/>
      <c r="BW25" s="718"/>
      <c r="BX25" s="718"/>
      <c r="BY25" s="718"/>
      <c r="BZ25" s="715">
        <f t="shared" ref="BZ25" si="77">BV25+BW25+BX25</f>
        <v>0</v>
      </c>
      <c r="CA25" s="715">
        <f t="shared" ref="CA25" si="78">BV25+BY25</f>
        <v>0</v>
      </c>
      <c r="CB25" s="714"/>
      <c r="CC25" s="718"/>
      <c r="CD25" s="718"/>
      <c r="CE25" s="718"/>
      <c r="CF25" s="718"/>
      <c r="CG25" s="715">
        <f t="shared" ref="CG25" si="79">CC25+CD25+CE25</f>
        <v>0</v>
      </c>
      <c r="CH25" s="715">
        <f t="shared" ref="CH25" si="80">CC25+CF25</f>
        <v>0</v>
      </c>
      <c r="CI25" s="714"/>
      <c r="CJ25" s="718">
        <f t="shared" si="24"/>
        <v>632</v>
      </c>
      <c r="CK25" s="718">
        <f t="shared" si="25"/>
        <v>0</v>
      </c>
      <c r="CL25" s="718">
        <f t="shared" si="26"/>
        <v>4</v>
      </c>
      <c r="CM25" s="718">
        <f t="shared" si="27"/>
        <v>159</v>
      </c>
      <c r="CN25" s="715">
        <f t="shared" si="28"/>
        <v>636</v>
      </c>
      <c r="CO25" s="715">
        <f t="shared" si="29"/>
        <v>791</v>
      </c>
      <c r="CQ25" s="721">
        <f t="shared" si="30"/>
        <v>7.9007971929212929E-3</v>
      </c>
      <c r="CR25" s="721">
        <f t="shared" si="31"/>
        <v>1.0064483181917785E-2</v>
      </c>
    </row>
    <row r="26" spans="1:96">
      <c r="A26" s="701" t="s">
        <v>31</v>
      </c>
      <c r="B26" s="701" t="s">
        <v>23</v>
      </c>
      <c r="C26" s="714"/>
      <c r="D26" s="718"/>
      <c r="E26" s="718"/>
      <c r="F26" s="718"/>
      <c r="G26" s="718"/>
      <c r="H26" s="715">
        <f t="shared" si="0"/>
        <v>0</v>
      </c>
      <c r="I26" s="715">
        <f t="shared" si="1"/>
        <v>0</v>
      </c>
      <c r="J26" s="714"/>
      <c r="K26" s="718"/>
      <c r="L26" s="718"/>
      <c r="M26" s="718"/>
      <c r="N26" s="718"/>
      <c r="O26" s="715">
        <f t="shared" si="2"/>
        <v>0</v>
      </c>
      <c r="P26" s="715">
        <f t="shared" si="3"/>
        <v>0</v>
      </c>
      <c r="Q26" s="714"/>
      <c r="R26" s="718"/>
      <c r="S26" s="718"/>
      <c r="T26" s="718"/>
      <c r="U26" s="718"/>
      <c r="V26" s="715">
        <f t="shared" si="4"/>
        <v>0</v>
      </c>
      <c r="W26" s="715">
        <f t="shared" si="5"/>
        <v>0</v>
      </c>
      <c r="X26" s="714"/>
      <c r="Y26" s="718"/>
      <c r="Z26" s="718"/>
      <c r="AA26" s="718"/>
      <c r="AB26" s="718"/>
      <c r="AC26" s="715">
        <f t="shared" si="6"/>
        <v>0</v>
      </c>
      <c r="AD26" s="715">
        <f t="shared" si="7"/>
        <v>0</v>
      </c>
      <c r="AE26" s="714"/>
      <c r="AF26" s="718"/>
      <c r="AG26" s="718"/>
      <c r="AH26" s="718"/>
      <c r="AI26" s="718"/>
      <c r="AJ26" s="715">
        <f t="shared" si="8"/>
        <v>0</v>
      </c>
      <c r="AK26" s="715">
        <f t="shared" si="9"/>
        <v>0</v>
      </c>
      <c r="AL26" s="714"/>
      <c r="AM26" s="718"/>
      <c r="AN26" s="718"/>
      <c r="AO26" s="718"/>
      <c r="AP26" s="718"/>
      <c r="AQ26" s="715">
        <f t="shared" si="10"/>
        <v>0</v>
      </c>
      <c r="AR26" s="715">
        <f t="shared" si="11"/>
        <v>0</v>
      </c>
      <c r="AS26" s="714"/>
      <c r="AT26" s="718"/>
      <c r="AU26" s="718"/>
      <c r="AV26" s="718"/>
      <c r="AW26" s="718"/>
      <c r="AX26" s="715">
        <f t="shared" si="12"/>
        <v>0</v>
      </c>
      <c r="AY26" s="715">
        <f t="shared" si="13"/>
        <v>0</v>
      </c>
      <c r="AZ26" s="714"/>
      <c r="BA26" s="718"/>
      <c r="BB26" s="718"/>
      <c r="BC26" s="718"/>
      <c r="BD26" s="718"/>
      <c r="BE26" s="715">
        <f t="shared" si="14"/>
        <v>0</v>
      </c>
      <c r="BF26" s="715">
        <f t="shared" si="15"/>
        <v>0</v>
      </c>
      <c r="BG26" s="714"/>
      <c r="BH26" s="718"/>
      <c r="BI26" s="718"/>
      <c r="BJ26" s="718"/>
      <c r="BK26" s="718"/>
      <c r="BL26" s="715">
        <f t="shared" si="16"/>
        <v>0</v>
      </c>
      <c r="BM26" s="715">
        <f t="shared" si="17"/>
        <v>0</v>
      </c>
      <c r="BN26" s="714"/>
      <c r="BO26" s="718"/>
      <c r="BP26" s="718"/>
      <c r="BQ26" s="718"/>
      <c r="BR26" s="718"/>
      <c r="BS26" s="715">
        <f t="shared" si="18"/>
        <v>0</v>
      </c>
      <c r="BT26" s="715">
        <f t="shared" si="19"/>
        <v>0</v>
      </c>
      <c r="BU26" s="714"/>
      <c r="BV26" s="718"/>
      <c r="BW26" s="718"/>
      <c r="BX26" s="718"/>
      <c r="BY26" s="718"/>
      <c r="BZ26" s="715">
        <f t="shared" si="20"/>
        <v>0</v>
      </c>
      <c r="CA26" s="715">
        <f t="shared" si="21"/>
        <v>0</v>
      </c>
      <c r="CB26" s="714"/>
      <c r="CC26" s="718"/>
      <c r="CD26" s="718"/>
      <c r="CE26" s="718"/>
      <c r="CF26" s="718"/>
      <c r="CG26" s="715">
        <f t="shared" si="22"/>
        <v>0</v>
      </c>
      <c r="CH26" s="715">
        <f t="shared" si="23"/>
        <v>0</v>
      </c>
      <c r="CI26" s="714"/>
      <c r="CJ26" s="718">
        <f t="shared" si="24"/>
        <v>0</v>
      </c>
      <c r="CK26" s="718">
        <f t="shared" si="25"/>
        <v>0</v>
      </c>
      <c r="CL26" s="718">
        <f t="shared" si="26"/>
        <v>0</v>
      </c>
      <c r="CM26" s="718">
        <f t="shared" si="27"/>
        <v>0</v>
      </c>
      <c r="CN26" s="715">
        <f t="shared" si="28"/>
        <v>0</v>
      </c>
      <c r="CO26" s="715">
        <f t="shared" si="29"/>
        <v>0</v>
      </c>
      <c r="CQ26" s="721">
        <f t="shared" si="30"/>
        <v>0</v>
      </c>
      <c r="CR26" s="721">
        <f t="shared" si="31"/>
        <v>0</v>
      </c>
    </row>
    <row r="27" spans="1:96">
      <c r="A27" s="701" t="s">
        <v>120</v>
      </c>
      <c r="B27" s="701" t="s">
        <v>328</v>
      </c>
      <c r="C27" s="714"/>
      <c r="D27" s="718"/>
      <c r="E27" s="718"/>
      <c r="F27" s="718"/>
      <c r="G27" s="718">
        <v>34</v>
      </c>
      <c r="H27" s="715">
        <f t="shared" si="0"/>
        <v>0</v>
      </c>
      <c r="I27" s="715">
        <f t="shared" si="1"/>
        <v>34</v>
      </c>
      <c r="J27" s="714"/>
      <c r="K27" s="718"/>
      <c r="L27" s="718"/>
      <c r="M27" s="718"/>
      <c r="N27" s="718">
        <v>79</v>
      </c>
      <c r="O27" s="715">
        <f t="shared" si="2"/>
        <v>0</v>
      </c>
      <c r="P27" s="715">
        <f t="shared" si="3"/>
        <v>79</v>
      </c>
      <c r="Q27" s="714"/>
      <c r="R27" s="718"/>
      <c r="S27" s="718"/>
      <c r="T27" s="718"/>
      <c r="U27" s="718">
        <v>35</v>
      </c>
      <c r="V27" s="715">
        <f t="shared" si="4"/>
        <v>0</v>
      </c>
      <c r="W27" s="715">
        <f t="shared" si="5"/>
        <v>35</v>
      </c>
      <c r="X27" s="714"/>
      <c r="Y27" s="718"/>
      <c r="Z27" s="718"/>
      <c r="AA27" s="718"/>
      <c r="AB27" s="718">
        <v>79</v>
      </c>
      <c r="AC27" s="715">
        <f t="shared" si="6"/>
        <v>0</v>
      </c>
      <c r="AD27" s="715">
        <f t="shared" si="7"/>
        <v>79</v>
      </c>
      <c r="AE27" s="714"/>
      <c r="AF27" s="718"/>
      <c r="AG27" s="718"/>
      <c r="AH27" s="718"/>
      <c r="AI27" s="718">
        <v>40</v>
      </c>
      <c r="AJ27" s="715">
        <f t="shared" si="8"/>
        <v>0</v>
      </c>
      <c r="AK27" s="715">
        <f t="shared" si="9"/>
        <v>40</v>
      </c>
      <c r="AL27" s="714"/>
      <c r="AM27" s="718"/>
      <c r="AN27" s="718"/>
      <c r="AO27" s="718"/>
      <c r="AP27" s="718">
        <v>33</v>
      </c>
      <c r="AQ27" s="715">
        <f t="shared" si="10"/>
        <v>0</v>
      </c>
      <c r="AR27" s="715">
        <f t="shared" si="11"/>
        <v>33</v>
      </c>
      <c r="AS27" s="714"/>
      <c r="AT27" s="718"/>
      <c r="AU27" s="718"/>
      <c r="AV27" s="718"/>
      <c r="AW27" s="718"/>
      <c r="AX27" s="715">
        <f t="shared" si="12"/>
        <v>0</v>
      </c>
      <c r="AY27" s="715">
        <f t="shared" si="13"/>
        <v>0</v>
      </c>
      <c r="AZ27" s="714"/>
      <c r="BA27" s="718"/>
      <c r="BB27" s="718"/>
      <c r="BC27" s="718"/>
      <c r="BD27" s="718"/>
      <c r="BE27" s="715">
        <f t="shared" si="14"/>
        <v>0</v>
      </c>
      <c r="BF27" s="715">
        <f t="shared" si="15"/>
        <v>0</v>
      </c>
      <c r="BG27" s="714"/>
      <c r="BH27" s="718"/>
      <c r="BI27" s="718"/>
      <c r="BJ27" s="718"/>
      <c r="BK27" s="718"/>
      <c r="BL27" s="715">
        <f t="shared" si="16"/>
        <v>0</v>
      </c>
      <c r="BM27" s="715">
        <f t="shared" si="17"/>
        <v>0</v>
      </c>
      <c r="BN27" s="714"/>
      <c r="BO27" s="718"/>
      <c r="BP27" s="718"/>
      <c r="BQ27" s="718"/>
      <c r="BR27" s="718"/>
      <c r="BS27" s="715">
        <f t="shared" si="18"/>
        <v>0</v>
      </c>
      <c r="BT27" s="715">
        <f t="shared" si="19"/>
        <v>0</v>
      </c>
      <c r="BU27" s="714"/>
      <c r="BV27" s="718"/>
      <c r="BW27" s="718"/>
      <c r="BX27" s="718"/>
      <c r="BY27" s="718"/>
      <c r="BZ27" s="715">
        <f t="shared" si="20"/>
        <v>0</v>
      </c>
      <c r="CA27" s="715">
        <f t="shared" si="21"/>
        <v>0</v>
      </c>
      <c r="CB27" s="714"/>
      <c r="CC27" s="718"/>
      <c r="CD27" s="718"/>
      <c r="CE27" s="718"/>
      <c r="CF27" s="718"/>
      <c r="CG27" s="715">
        <f t="shared" si="22"/>
        <v>0</v>
      </c>
      <c r="CH27" s="715">
        <f t="shared" si="23"/>
        <v>0</v>
      </c>
      <c r="CI27" s="714"/>
      <c r="CJ27" s="718">
        <f t="shared" si="24"/>
        <v>0</v>
      </c>
      <c r="CK27" s="718">
        <f t="shared" si="25"/>
        <v>0</v>
      </c>
      <c r="CL27" s="718">
        <f t="shared" si="26"/>
        <v>0</v>
      </c>
      <c r="CM27" s="718">
        <f t="shared" si="27"/>
        <v>300</v>
      </c>
      <c r="CN27" s="715">
        <f t="shared" si="28"/>
        <v>0</v>
      </c>
      <c r="CO27" s="715">
        <f t="shared" si="29"/>
        <v>300</v>
      </c>
      <c r="CQ27" s="721">
        <f t="shared" si="30"/>
        <v>0</v>
      </c>
      <c r="CR27" s="721">
        <f t="shared" si="31"/>
        <v>3.8171238363784265E-3</v>
      </c>
    </row>
    <row r="28" spans="1:96">
      <c r="A28" s="701"/>
      <c r="B28" s="706" t="s">
        <v>137</v>
      </c>
      <c r="C28" s="714"/>
      <c r="D28" s="718">
        <f t="shared" ref="D28:I28" si="81">SUM(D5:D27)</f>
        <v>13023</v>
      </c>
      <c r="E28" s="718">
        <f t="shared" si="81"/>
        <v>407</v>
      </c>
      <c r="F28" s="718">
        <f t="shared" si="81"/>
        <v>291</v>
      </c>
      <c r="G28" s="718">
        <f t="shared" si="81"/>
        <v>386</v>
      </c>
      <c r="H28" s="715">
        <f t="shared" si="81"/>
        <v>13721</v>
      </c>
      <c r="I28" s="715">
        <f t="shared" si="81"/>
        <v>13409</v>
      </c>
      <c r="J28" s="714"/>
      <c r="K28" s="718">
        <f t="shared" ref="K28:P28" si="82">SUM(K5:K27)</f>
        <v>13599</v>
      </c>
      <c r="L28" s="718">
        <f t="shared" si="82"/>
        <v>525</v>
      </c>
      <c r="M28" s="718">
        <f t="shared" si="82"/>
        <v>178</v>
      </c>
      <c r="N28" s="718">
        <f t="shared" si="82"/>
        <v>453</v>
      </c>
      <c r="O28" s="715">
        <f t="shared" si="82"/>
        <v>14302</v>
      </c>
      <c r="P28" s="715">
        <f t="shared" si="82"/>
        <v>14052</v>
      </c>
      <c r="Q28" s="714"/>
      <c r="R28" s="718">
        <f t="shared" ref="R28:W28" si="83">SUM(R5:R27)</f>
        <v>12360</v>
      </c>
      <c r="S28" s="718">
        <f t="shared" si="83"/>
        <v>524</v>
      </c>
      <c r="T28" s="718">
        <f t="shared" si="83"/>
        <v>216</v>
      </c>
      <c r="U28" s="718">
        <f t="shared" si="83"/>
        <v>368</v>
      </c>
      <c r="V28" s="715">
        <f t="shared" si="83"/>
        <v>13100</v>
      </c>
      <c r="W28" s="715">
        <f t="shared" si="83"/>
        <v>12728</v>
      </c>
      <c r="X28" s="714"/>
      <c r="Y28" s="718">
        <f t="shared" ref="Y28:AD28" si="84">SUM(Y5:Y27)</f>
        <v>14044</v>
      </c>
      <c r="Z28" s="718">
        <f t="shared" si="84"/>
        <v>694</v>
      </c>
      <c r="AA28" s="718">
        <f t="shared" si="84"/>
        <v>193</v>
      </c>
      <c r="AB28" s="718">
        <f t="shared" si="84"/>
        <v>437</v>
      </c>
      <c r="AC28" s="715">
        <f t="shared" si="84"/>
        <v>14931</v>
      </c>
      <c r="AD28" s="715">
        <f t="shared" si="84"/>
        <v>14481</v>
      </c>
      <c r="AE28" s="714"/>
      <c r="AF28" s="718">
        <f t="shared" ref="AF28:AK28" si="85">SUM(AF5:AF27)</f>
        <v>11703</v>
      </c>
      <c r="AG28" s="718">
        <f t="shared" si="85"/>
        <v>463</v>
      </c>
      <c r="AH28" s="718">
        <f t="shared" si="85"/>
        <v>108</v>
      </c>
      <c r="AI28" s="718">
        <f t="shared" si="85"/>
        <v>331</v>
      </c>
      <c r="AJ28" s="715">
        <f t="shared" si="85"/>
        <v>12274</v>
      </c>
      <c r="AK28" s="715">
        <f t="shared" si="85"/>
        <v>12034</v>
      </c>
      <c r="AL28" s="714"/>
      <c r="AM28" s="718">
        <f t="shared" ref="AM28:AR28" si="86">SUM(AM5:AM27)</f>
        <v>11498.206</v>
      </c>
      <c r="AN28" s="718">
        <f t="shared" si="86"/>
        <v>520</v>
      </c>
      <c r="AO28" s="718">
        <f t="shared" si="86"/>
        <v>152</v>
      </c>
      <c r="AP28" s="718">
        <f t="shared" si="86"/>
        <v>391</v>
      </c>
      <c r="AQ28" s="715">
        <f t="shared" si="86"/>
        <v>12170.206</v>
      </c>
      <c r="AR28" s="715">
        <f t="shared" si="86"/>
        <v>11889.206</v>
      </c>
      <c r="AS28" s="714"/>
      <c r="AT28" s="718">
        <f t="shared" ref="AT28:AY28" si="87">SUM(AT5:AT27)</f>
        <v>0</v>
      </c>
      <c r="AU28" s="718">
        <f t="shared" si="87"/>
        <v>0</v>
      </c>
      <c r="AV28" s="718">
        <f t="shared" si="87"/>
        <v>0</v>
      </c>
      <c r="AW28" s="718">
        <f t="shared" si="87"/>
        <v>0</v>
      </c>
      <c r="AX28" s="715">
        <f t="shared" si="87"/>
        <v>0</v>
      </c>
      <c r="AY28" s="715">
        <f t="shared" si="87"/>
        <v>0</v>
      </c>
      <c r="AZ28" s="714"/>
      <c r="BA28" s="718">
        <f t="shared" ref="BA28:BF28" si="88">SUM(BA5:BA27)</f>
        <v>0</v>
      </c>
      <c r="BB28" s="718">
        <f t="shared" si="88"/>
        <v>0</v>
      </c>
      <c r="BC28" s="718">
        <f t="shared" si="88"/>
        <v>0</v>
      </c>
      <c r="BD28" s="718">
        <f t="shared" si="88"/>
        <v>0</v>
      </c>
      <c r="BE28" s="715">
        <f t="shared" si="88"/>
        <v>0</v>
      </c>
      <c r="BF28" s="715">
        <f t="shared" si="88"/>
        <v>0</v>
      </c>
      <c r="BG28" s="714"/>
      <c r="BH28" s="718">
        <f t="shared" ref="BH28:BM28" si="89">SUM(BH5:BH27)</f>
        <v>0</v>
      </c>
      <c r="BI28" s="718">
        <f t="shared" si="89"/>
        <v>0</v>
      </c>
      <c r="BJ28" s="718">
        <f t="shared" si="89"/>
        <v>0</v>
      </c>
      <c r="BK28" s="718">
        <f t="shared" si="89"/>
        <v>0</v>
      </c>
      <c r="BL28" s="715">
        <f t="shared" si="89"/>
        <v>0</v>
      </c>
      <c r="BM28" s="715">
        <f t="shared" si="89"/>
        <v>0</v>
      </c>
      <c r="BN28" s="714"/>
      <c r="BO28" s="718">
        <f t="shared" ref="BO28:BT28" si="90">SUM(BO5:BO27)</f>
        <v>0</v>
      </c>
      <c r="BP28" s="718">
        <f t="shared" si="90"/>
        <v>0</v>
      </c>
      <c r="BQ28" s="718">
        <f t="shared" si="90"/>
        <v>0</v>
      </c>
      <c r="BR28" s="718">
        <f t="shared" si="90"/>
        <v>0</v>
      </c>
      <c r="BS28" s="715">
        <f t="shared" si="90"/>
        <v>0</v>
      </c>
      <c r="BT28" s="715">
        <f t="shared" si="90"/>
        <v>0</v>
      </c>
      <c r="BU28" s="714"/>
      <c r="BV28" s="718">
        <f t="shared" ref="BV28:CA28" si="91">SUM(BV5:BV27)</f>
        <v>0</v>
      </c>
      <c r="BW28" s="718">
        <f t="shared" si="91"/>
        <v>0</v>
      </c>
      <c r="BX28" s="718">
        <f t="shared" si="91"/>
        <v>0</v>
      </c>
      <c r="BY28" s="718">
        <f t="shared" si="91"/>
        <v>0</v>
      </c>
      <c r="BZ28" s="715">
        <f t="shared" si="91"/>
        <v>0</v>
      </c>
      <c r="CA28" s="715">
        <f t="shared" si="91"/>
        <v>0</v>
      </c>
      <c r="CB28" s="714"/>
      <c r="CC28" s="718">
        <f t="shared" ref="CC28:CH28" si="92">SUM(CC5:CC27)</f>
        <v>0</v>
      </c>
      <c r="CD28" s="718">
        <f t="shared" si="92"/>
        <v>0</v>
      </c>
      <c r="CE28" s="718">
        <f t="shared" si="92"/>
        <v>0</v>
      </c>
      <c r="CF28" s="718">
        <f t="shared" si="92"/>
        <v>0</v>
      </c>
      <c r="CG28" s="715">
        <f t="shared" si="92"/>
        <v>0</v>
      </c>
      <c r="CH28" s="715">
        <f t="shared" si="92"/>
        <v>0</v>
      </c>
      <c r="CI28" s="714"/>
      <c r="CJ28" s="718">
        <f t="shared" ref="CJ28:CO28" si="93">SUM(CJ5:CJ27)</f>
        <v>76227.206000000006</v>
      </c>
      <c r="CK28" s="718">
        <f t="shared" si="93"/>
        <v>3133</v>
      </c>
      <c r="CL28" s="718">
        <f t="shared" si="93"/>
        <v>1138</v>
      </c>
      <c r="CM28" s="718">
        <f t="shared" si="93"/>
        <v>2366</v>
      </c>
      <c r="CN28" s="715">
        <f t="shared" si="93"/>
        <v>80498.206000000006</v>
      </c>
      <c r="CO28" s="715">
        <f t="shared" si="93"/>
        <v>78593.206000000006</v>
      </c>
      <c r="CQ28" s="721">
        <f>SUM(CQ5:CQ27)</f>
        <v>0.99999999999999978</v>
      </c>
      <c r="CR28" s="721">
        <f>SUM(CR5:CR27)</f>
        <v>1</v>
      </c>
    </row>
    <row r="29" spans="1:96" ht="21">
      <c r="A29" s="725" t="s">
        <v>19</v>
      </c>
      <c r="B29" s="725" t="s">
        <v>486</v>
      </c>
      <c r="C29" s="970"/>
      <c r="D29" s="974" t="s">
        <v>8</v>
      </c>
      <c r="E29" s="975"/>
      <c r="F29" s="975"/>
      <c r="G29" s="975"/>
      <c r="H29" s="975"/>
      <c r="I29" s="976"/>
      <c r="J29" s="970"/>
      <c r="K29" s="974" t="s">
        <v>78</v>
      </c>
      <c r="L29" s="975"/>
      <c r="M29" s="975"/>
      <c r="N29" s="975"/>
      <c r="O29" s="975"/>
      <c r="P29" s="976"/>
      <c r="Q29" s="970"/>
      <c r="R29" s="974" t="s">
        <v>79</v>
      </c>
      <c r="S29" s="975"/>
      <c r="T29" s="975"/>
      <c r="U29" s="975"/>
      <c r="V29" s="975"/>
      <c r="W29" s="976"/>
      <c r="X29" s="970"/>
      <c r="Y29" s="974" t="s">
        <v>80</v>
      </c>
      <c r="Z29" s="975"/>
      <c r="AA29" s="975"/>
      <c r="AB29" s="975"/>
      <c r="AC29" s="975"/>
      <c r="AD29" s="976"/>
      <c r="AE29" s="970"/>
      <c r="AF29" s="974" t="s">
        <v>81</v>
      </c>
      <c r="AG29" s="975"/>
      <c r="AH29" s="975"/>
      <c r="AI29" s="975"/>
      <c r="AJ29" s="975"/>
      <c r="AK29" s="976"/>
      <c r="AL29" s="970"/>
      <c r="AM29" s="974" t="s">
        <v>82</v>
      </c>
      <c r="AN29" s="975"/>
      <c r="AO29" s="975"/>
      <c r="AP29" s="975"/>
      <c r="AQ29" s="975"/>
      <c r="AR29" s="976"/>
      <c r="AS29" s="970"/>
      <c r="AT29" s="974" t="s">
        <v>83</v>
      </c>
      <c r="AU29" s="975"/>
      <c r="AV29" s="975"/>
      <c r="AW29" s="975"/>
      <c r="AX29" s="975"/>
      <c r="AY29" s="976"/>
      <c r="AZ29" s="970"/>
      <c r="BA29" s="974" t="s">
        <v>84</v>
      </c>
      <c r="BB29" s="975"/>
      <c r="BC29" s="975"/>
      <c r="BD29" s="975"/>
      <c r="BE29" s="975"/>
      <c r="BF29" s="976"/>
      <c r="BG29" s="970"/>
      <c r="BH29" s="974" t="s">
        <v>85</v>
      </c>
      <c r="BI29" s="975"/>
      <c r="BJ29" s="975"/>
      <c r="BK29" s="975"/>
      <c r="BL29" s="975"/>
      <c r="BM29" s="976"/>
      <c r="BN29" s="970"/>
      <c r="BO29" s="974" t="s">
        <v>4</v>
      </c>
      <c r="BP29" s="975"/>
      <c r="BQ29" s="975"/>
      <c r="BR29" s="975"/>
      <c r="BS29" s="975"/>
      <c r="BT29" s="976"/>
      <c r="BU29" s="970"/>
      <c r="BV29" s="974" t="s">
        <v>5</v>
      </c>
      <c r="BW29" s="975"/>
      <c r="BX29" s="975"/>
      <c r="BY29" s="975"/>
      <c r="BZ29" s="975"/>
      <c r="CA29" s="976"/>
      <c r="CB29" s="970"/>
      <c r="CC29" s="974" t="s">
        <v>6</v>
      </c>
      <c r="CD29" s="975"/>
      <c r="CE29" s="975"/>
      <c r="CF29" s="975"/>
      <c r="CG29" s="975"/>
      <c r="CH29" s="976"/>
      <c r="CI29" s="970"/>
      <c r="CJ29" s="974" t="s">
        <v>116</v>
      </c>
      <c r="CK29" s="975"/>
      <c r="CL29" s="975"/>
      <c r="CM29" s="975"/>
      <c r="CN29" s="975"/>
      <c r="CO29" s="976"/>
      <c r="CP29" s="970"/>
      <c r="CQ29" s="977" t="s">
        <v>237</v>
      </c>
      <c r="CR29" s="977" t="s">
        <v>238</v>
      </c>
    </row>
    <row r="30" spans="1:96" s="713" customFormat="1" ht="31.2">
      <c r="A30" s="723" t="s">
        <v>489</v>
      </c>
      <c r="B30" s="724" t="s">
        <v>118</v>
      </c>
      <c r="C30" s="972"/>
      <c r="D30" s="712" t="s">
        <v>488</v>
      </c>
      <c r="E30" s="712" t="s">
        <v>35</v>
      </c>
      <c r="F30" s="712" t="s">
        <v>36</v>
      </c>
      <c r="G30" s="712" t="s">
        <v>44</v>
      </c>
      <c r="H30" s="973" t="s">
        <v>34</v>
      </c>
      <c r="I30" s="973" t="s">
        <v>48</v>
      </c>
      <c r="J30" s="972"/>
      <c r="K30" s="712" t="s">
        <v>488</v>
      </c>
      <c r="L30" s="712" t="s">
        <v>35</v>
      </c>
      <c r="M30" s="712" t="s">
        <v>36</v>
      </c>
      <c r="N30" s="712" t="s">
        <v>44</v>
      </c>
      <c r="O30" s="973" t="s">
        <v>34</v>
      </c>
      <c r="P30" s="973" t="s">
        <v>48</v>
      </c>
      <c r="Q30" s="972"/>
      <c r="R30" s="712" t="s">
        <v>488</v>
      </c>
      <c r="S30" s="712" t="s">
        <v>35</v>
      </c>
      <c r="T30" s="712" t="s">
        <v>36</v>
      </c>
      <c r="U30" s="712" t="s">
        <v>44</v>
      </c>
      <c r="V30" s="973" t="s">
        <v>34</v>
      </c>
      <c r="W30" s="973" t="s">
        <v>48</v>
      </c>
      <c r="X30" s="972"/>
      <c r="Y30" s="712" t="s">
        <v>488</v>
      </c>
      <c r="Z30" s="712" t="s">
        <v>35</v>
      </c>
      <c r="AA30" s="712" t="s">
        <v>36</v>
      </c>
      <c r="AB30" s="712" t="s">
        <v>44</v>
      </c>
      <c r="AC30" s="973" t="s">
        <v>34</v>
      </c>
      <c r="AD30" s="973" t="s">
        <v>48</v>
      </c>
      <c r="AE30" s="972"/>
      <c r="AF30" s="712" t="s">
        <v>488</v>
      </c>
      <c r="AG30" s="712" t="s">
        <v>35</v>
      </c>
      <c r="AH30" s="712" t="s">
        <v>36</v>
      </c>
      <c r="AI30" s="712" t="s">
        <v>44</v>
      </c>
      <c r="AJ30" s="973" t="s">
        <v>34</v>
      </c>
      <c r="AK30" s="973" t="s">
        <v>48</v>
      </c>
      <c r="AL30" s="972"/>
      <c r="AM30" s="712" t="s">
        <v>488</v>
      </c>
      <c r="AN30" s="712" t="s">
        <v>35</v>
      </c>
      <c r="AO30" s="712" t="s">
        <v>36</v>
      </c>
      <c r="AP30" s="712" t="s">
        <v>44</v>
      </c>
      <c r="AQ30" s="973" t="s">
        <v>34</v>
      </c>
      <c r="AR30" s="973" t="s">
        <v>48</v>
      </c>
      <c r="AS30" s="972"/>
      <c r="AT30" s="712" t="s">
        <v>488</v>
      </c>
      <c r="AU30" s="712" t="s">
        <v>35</v>
      </c>
      <c r="AV30" s="712" t="s">
        <v>36</v>
      </c>
      <c r="AW30" s="712" t="s">
        <v>44</v>
      </c>
      <c r="AX30" s="973" t="s">
        <v>34</v>
      </c>
      <c r="AY30" s="973" t="s">
        <v>48</v>
      </c>
      <c r="AZ30" s="972"/>
      <c r="BA30" s="712" t="s">
        <v>488</v>
      </c>
      <c r="BB30" s="712" t="s">
        <v>35</v>
      </c>
      <c r="BC30" s="712" t="s">
        <v>36</v>
      </c>
      <c r="BD30" s="712" t="s">
        <v>44</v>
      </c>
      <c r="BE30" s="973" t="s">
        <v>34</v>
      </c>
      <c r="BF30" s="973" t="s">
        <v>48</v>
      </c>
      <c r="BG30" s="972"/>
      <c r="BH30" s="712" t="s">
        <v>488</v>
      </c>
      <c r="BI30" s="712" t="s">
        <v>35</v>
      </c>
      <c r="BJ30" s="712" t="s">
        <v>36</v>
      </c>
      <c r="BK30" s="712" t="s">
        <v>44</v>
      </c>
      <c r="BL30" s="973" t="s">
        <v>34</v>
      </c>
      <c r="BM30" s="973" t="s">
        <v>48</v>
      </c>
      <c r="BN30" s="972"/>
      <c r="BO30" s="712" t="s">
        <v>488</v>
      </c>
      <c r="BP30" s="712" t="s">
        <v>35</v>
      </c>
      <c r="BQ30" s="712" t="s">
        <v>36</v>
      </c>
      <c r="BR30" s="712" t="s">
        <v>44</v>
      </c>
      <c r="BS30" s="973" t="s">
        <v>34</v>
      </c>
      <c r="BT30" s="973" t="s">
        <v>48</v>
      </c>
      <c r="BU30" s="972"/>
      <c r="BV30" s="712" t="s">
        <v>488</v>
      </c>
      <c r="BW30" s="712" t="s">
        <v>35</v>
      </c>
      <c r="BX30" s="712" t="s">
        <v>36</v>
      </c>
      <c r="BY30" s="712" t="s">
        <v>44</v>
      </c>
      <c r="BZ30" s="973" t="s">
        <v>34</v>
      </c>
      <c r="CA30" s="973" t="s">
        <v>48</v>
      </c>
      <c r="CB30" s="972"/>
      <c r="CC30" s="712" t="s">
        <v>488</v>
      </c>
      <c r="CD30" s="712" t="s">
        <v>35</v>
      </c>
      <c r="CE30" s="712" t="s">
        <v>36</v>
      </c>
      <c r="CF30" s="712" t="s">
        <v>44</v>
      </c>
      <c r="CG30" s="973" t="s">
        <v>34</v>
      </c>
      <c r="CH30" s="973" t="s">
        <v>48</v>
      </c>
      <c r="CI30" s="972"/>
      <c r="CJ30" s="712" t="s">
        <v>488</v>
      </c>
      <c r="CK30" s="712" t="s">
        <v>35</v>
      </c>
      <c r="CL30" s="712" t="s">
        <v>36</v>
      </c>
      <c r="CM30" s="712" t="s">
        <v>44</v>
      </c>
      <c r="CN30" s="973" t="s">
        <v>34</v>
      </c>
      <c r="CO30" s="973" t="s">
        <v>48</v>
      </c>
      <c r="CP30" s="972"/>
      <c r="CQ30" s="978"/>
      <c r="CR30" s="978"/>
    </row>
    <row r="31" spans="1:96">
      <c r="A31" s="701" t="s">
        <v>127</v>
      </c>
      <c r="B31" s="701" t="s">
        <v>128</v>
      </c>
      <c r="C31" s="714"/>
      <c r="D31" s="715">
        <v>191</v>
      </c>
      <c r="E31" s="715"/>
      <c r="F31" s="715"/>
      <c r="G31" s="715"/>
      <c r="H31" s="715">
        <f t="shared" ref="H31:H53" si="94">D31+E31+F31</f>
        <v>191</v>
      </c>
      <c r="I31" s="715">
        <f t="shared" ref="I31:I53" si="95">D31+G31</f>
        <v>191</v>
      </c>
      <c r="J31" s="714"/>
      <c r="K31" s="715">
        <v>220</v>
      </c>
      <c r="L31" s="715"/>
      <c r="M31" s="715"/>
      <c r="N31" s="715">
        <v>2</v>
      </c>
      <c r="O31" s="715">
        <f t="shared" ref="O31:O53" si="96">K31+L31+M31</f>
        <v>220</v>
      </c>
      <c r="P31" s="715">
        <f t="shared" ref="P31:P53" si="97">K31+N31</f>
        <v>222</v>
      </c>
      <c r="Q31" s="714"/>
      <c r="R31" s="715">
        <v>174</v>
      </c>
      <c r="S31" s="715"/>
      <c r="T31" s="715"/>
      <c r="U31" s="715">
        <v>3</v>
      </c>
      <c r="V31" s="715">
        <f t="shared" ref="V31:V53" si="98">R31+S31+T31</f>
        <v>174</v>
      </c>
      <c r="W31" s="715">
        <f t="shared" ref="W31:W53" si="99">R31+U31</f>
        <v>177</v>
      </c>
      <c r="X31" s="714"/>
      <c r="Y31" s="715">
        <v>239</v>
      </c>
      <c r="Z31" s="715"/>
      <c r="AA31" s="715"/>
      <c r="AB31" s="715">
        <v>2</v>
      </c>
      <c r="AC31" s="715">
        <f t="shared" ref="AC31:AC53" si="100">Y31+Z31+AA31</f>
        <v>239</v>
      </c>
      <c r="AD31" s="715">
        <f t="shared" ref="AD31:AD53" si="101">Y31+AB31</f>
        <v>241</v>
      </c>
      <c r="AE31" s="714"/>
      <c r="AF31" s="715">
        <v>159</v>
      </c>
      <c r="AG31" s="715"/>
      <c r="AH31" s="715"/>
      <c r="AI31" s="715">
        <v>3</v>
      </c>
      <c r="AJ31" s="715">
        <f t="shared" ref="AJ31:AJ53" si="102">AF31+AG31+AH31</f>
        <v>159</v>
      </c>
      <c r="AK31" s="715">
        <f t="shared" ref="AK31:AK53" si="103">AF31+AI31</f>
        <v>162</v>
      </c>
      <c r="AL31" s="714"/>
      <c r="AM31" s="715">
        <v>94</v>
      </c>
      <c r="AN31" s="715"/>
      <c r="AO31" s="715"/>
      <c r="AP31" s="715">
        <v>4</v>
      </c>
      <c r="AQ31" s="715">
        <f t="shared" ref="AQ31:AQ53" si="104">AM31+AN31+AO31</f>
        <v>94</v>
      </c>
      <c r="AR31" s="715">
        <f t="shared" ref="AR31:AR53" si="105">AM31+AP31</f>
        <v>98</v>
      </c>
      <c r="AS31" s="714"/>
      <c r="AT31" s="715">
        <v>182</v>
      </c>
      <c r="AU31" s="715"/>
      <c r="AV31" s="715"/>
      <c r="AW31" s="715">
        <v>1</v>
      </c>
      <c r="AX31" s="715">
        <f t="shared" ref="AX31:AX53" si="106">AT31+AU31+AV31</f>
        <v>182</v>
      </c>
      <c r="AY31" s="715">
        <f t="shared" ref="AY31:AY53" si="107">AT31+AW31</f>
        <v>183</v>
      </c>
      <c r="AZ31" s="714"/>
      <c r="BA31" s="715">
        <v>182</v>
      </c>
      <c r="BB31" s="715"/>
      <c r="BC31" s="715"/>
      <c r="BD31" s="715">
        <v>3</v>
      </c>
      <c r="BE31" s="715">
        <f t="shared" ref="BE31:BE53" si="108">BA31+BB31+BC31</f>
        <v>182</v>
      </c>
      <c r="BF31" s="715">
        <f t="shared" ref="BF31:BF53" si="109">BA31+BD31</f>
        <v>185</v>
      </c>
      <c r="BG31" s="714"/>
      <c r="BH31" s="715">
        <v>198</v>
      </c>
      <c r="BI31" s="715"/>
      <c r="BJ31" s="715"/>
      <c r="BK31" s="715">
        <v>2</v>
      </c>
      <c r="BL31" s="715">
        <f t="shared" ref="BL31:BL53" si="110">BH31+BI31+BJ31</f>
        <v>198</v>
      </c>
      <c r="BM31" s="715">
        <f t="shared" ref="BM31:BM53" si="111">BH31+BK31</f>
        <v>200</v>
      </c>
      <c r="BN31" s="714"/>
      <c r="BO31" s="715">
        <v>222</v>
      </c>
      <c r="BP31" s="715"/>
      <c r="BQ31" s="715"/>
      <c r="BR31" s="715">
        <v>6</v>
      </c>
      <c r="BS31" s="715">
        <f t="shared" ref="BS31:BS53" si="112">BO31+BP31+BQ31</f>
        <v>222</v>
      </c>
      <c r="BT31" s="715">
        <f t="shared" ref="BT31:BT53" si="113">BO31+BR31</f>
        <v>228</v>
      </c>
      <c r="BU31" s="714"/>
      <c r="BV31" s="715">
        <v>239</v>
      </c>
      <c r="BW31" s="715"/>
      <c r="BX31" s="715"/>
      <c r="BY31" s="715">
        <v>1</v>
      </c>
      <c r="BZ31" s="715">
        <f t="shared" ref="BZ31:BZ53" si="114">BV31+BW31+BX31</f>
        <v>239</v>
      </c>
      <c r="CA31" s="715">
        <f t="shared" ref="CA31:CA53" si="115">BV31+BY31</f>
        <v>240</v>
      </c>
      <c r="CB31" s="714"/>
      <c r="CC31" s="715">
        <v>219</v>
      </c>
      <c r="CD31" s="715"/>
      <c r="CE31" s="715"/>
      <c r="CF31" s="715">
        <v>1</v>
      </c>
      <c r="CG31" s="715">
        <f t="shared" ref="CG31:CG53" si="116">CC31+CD31+CE31</f>
        <v>219</v>
      </c>
      <c r="CH31" s="715">
        <f t="shared" ref="CH31:CH53" si="117">CC31+CF31</f>
        <v>220</v>
      </c>
      <c r="CI31" s="714"/>
      <c r="CJ31" s="715">
        <f t="shared" ref="CJ31:CJ53" si="118">D31+K31+R31+Y31+AF31+AM31+AT31+BA31+BH31+BO31+BV31+CC31</f>
        <v>2319</v>
      </c>
      <c r="CK31" s="715">
        <f t="shared" ref="CK31:CK53" si="119">E31+L31+S31+Z31+AG31+AN31+AU31+BB31+BI31+BP31+BW31+CD31</f>
        <v>0</v>
      </c>
      <c r="CL31" s="715">
        <f t="shared" ref="CL31:CL53" si="120">F31+M31+T31+AA31+AH31+AO31+AV31+BC31+BJ31+BQ31+BX31+CE31</f>
        <v>0</v>
      </c>
      <c r="CM31" s="715">
        <f t="shared" ref="CM31:CM53" si="121">G31+N31+U31+AB31+AI31+AP31+AW31+BD31+BK31+BR31+BY31+CF31</f>
        <v>28</v>
      </c>
      <c r="CN31" s="715">
        <f t="shared" ref="CN31:CN53" si="122">H31+O31+V31+AC31+AJ31+AQ31+AX31+BE31+BL31+BS31+BZ31+CG31</f>
        <v>2319</v>
      </c>
      <c r="CO31" s="715">
        <f t="shared" ref="CO31:CO53" si="123">I31+P31+W31+AD31+AK31+AR31+AY31+BF31+BM31+BT31+CA31+CH31</f>
        <v>2347</v>
      </c>
      <c r="CQ31" s="717">
        <f>IFERROR(CN31/#REF!,0)</f>
        <v>0</v>
      </c>
      <c r="CR31" s="717">
        <f>IFERROR(CO31/#REF!,0)</f>
        <v>0</v>
      </c>
    </row>
    <row r="32" spans="1:96">
      <c r="A32" s="701" t="s">
        <v>129</v>
      </c>
      <c r="B32" s="701" t="s">
        <v>130</v>
      </c>
      <c r="C32" s="714"/>
      <c r="D32" s="718">
        <v>6</v>
      </c>
      <c r="E32" s="718"/>
      <c r="F32" s="718"/>
      <c r="G32" s="718"/>
      <c r="H32" s="715">
        <f t="shared" si="94"/>
        <v>6</v>
      </c>
      <c r="I32" s="715">
        <f t="shared" si="95"/>
        <v>6</v>
      </c>
      <c r="J32" s="714"/>
      <c r="K32" s="718">
        <v>20</v>
      </c>
      <c r="L32" s="718"/>
      <c r="M32" s="718"/>
      <c r="N32" s="718">
        <v>1</v>
      </c>
      <c r="O32" s="715">
        <f t="shared" si="96"/>
        <v>20</v>
      </c>
      <c r="P32" s="715">
        <f t="shared" si="97"/>
        <v>21</v>
      </c>
      <c r="Q32" s="714"/>
      <c r="R32" s="718">
        <v>12</v>
      </c>
      <c r="S32" s="718"/>
      <c r="T32" s="718"/>
      <c r="U32" s="718"/>
      <c r="V32" s="715">
        <f t="shared" si="98"/>
        <v>12</v>
      </c>
      <c r="W32" s="715">
        <f t="shared" si="99"/>
        <v>12</v>
      </c>
      <c r="X32" s="714"/>
      <c r="Y32" s="718">
        <v>21</v>
      </c>
      <c r="Z32" s="718"/>
      <c r="AA32" s="718"/>
      <c r="AB32" s="718">
        <v>1</v>
      </c>
      <c r="AC32" s="715">
        <f t="shared" si="100"/>
        <v>21</v>
      </c>
      <c r="AD32" s="715">
        <f t="shared" si="101"/>
        <v>22</v>
      </c>
      <c r="AE32" s="714"/>
      <c r="AF32" s="718">
        <v>11</v>
      </c>
      <c r="AG32" s="718"/>
      <c r="AH32" s="718"/>
      <c r="AI32" s="718">
        <v>1</v>
      </c>
      <c r="AJ32" s="715">
        <f t="shared" si="102"/>
        <v>11</v>
      </c>
      <c r="AK32" s="715">
        <f t="shared" si="103"/>
        <v>12</v>
      </c>
      <c r="AL32" s="714"/>
      <c r="AM32" s="718">
        <v>12</v>
      </c>
      <c r="AN32" s="718"/>
      <c r="AO32" s="718"/>
      <c r="AP32" s="718">
        <v>1</v>
      </c>
      <c r="AQ32" s="715">
        <f t="shared" si="104"/>
        <v>12</v>
      </c>
      <c r="AR32" s="715">
        <f t="shared" si="105"/>
        <v>13</v>
      </c>
      <c r="AS32" s="714"/>
      <c r="AT32" s="718">
        <v>6</v>
      </c>
      <c r="AU32" s="718"/>
      <c r="AV32" s="718"/>
      <c r="AW32" s="718"/>
      <c r="AX32" s="715">
        <f t="shared" si="106"/>
        <v>6</v>
      </c>
      <c r="AY32" s="715">
        <f t="shared" si="107"/>
        <v>6</v>
      </c>
      <c r="AZ32" s="714"/>
      <c r="BA32" s="718">
        <v>2</v>
      </c>
      <c r="BB32" s="718"/>
      <c r="BC32" s="718"/>
      <c r="BD32" s="718">
        <v>2</v>
      </c>
      <c r="BE32" s="715">
        <f t="shared" si="108"/>
        <v>2</v>
      </c>
      <c r="BF32" s="715">
        <f t="shared" si="109"/>
        <v>4</v>
      </c>
      <c r="BG32" s="714"/>
      <c r="BH32" s="718">
        <v>6</v>
      </c>
      <c r="BI32" s="718"/>
      <c r="BJ32" s="718"/>
      <c r="BK32" s="718"/>
      <c r="BL32" s="715">
        <f t="shared" si="110"/>
        <v>6</v>
      </c>
      <c r="BM32" s="715">
        <f t="shared" si="111"/>
        <v>6</v>
      </c>
      <c r="BN32" s="714"/>
      <c r="BO32" s="718">
        <v>7</v>
      </c>
      <c r="BP32" s="718"/>
      <c r="BQ32" s="718"/>
      <c r="BR32" s="718">
        <v>4</v>
      </c>
      <c r="BS32" s="715">
        <f t="shared" si="112"/>
        <v>7</v>
      </c>
      <c r="BT32" s="715">
        <f t="shared" si="113"/>
        <v>11</v>
      </c>
      <c r="BU32" s="714"/>
      <c r="BV32" s="718">
        <v>14</v>
      </c>
      <c r="BW32" s="718"/>
      <c r="BX32" s="718"/>
      <c r="BY32" s="718">
        <v>1</v>
      </c>
      <c r="BZ32" s="715">
        <f t="shared" si="114"/>
        <v>14</v>
      </c>
      <c r="CA32" s="715">
        <f t="shared" si="115"/>
        <v>15</v>
      </c>
      <c r="CB32" s="714"/>
      <c r="CC32" s="718">
        <v>15</v>
      </c>
      <c r="CD32" s="718"/>
      <c r="CE32" s="718"/>
      <c r="CF32" s="718">
        <v>1</v>
      </c>
      <c r="CG32" s="715">
        <f t="shared" si="116"/>
        <v>15</v>
      </c>
      <c r="CH32" s="715">
        <f t="shared" si="117"/>
        <v>16</v>
      </c>
      <c r="CI32" s="714"/>
      <c r="CJ32" s="718">
        <f t="shared" si="118"/>
        <v>132</v>
      </c>
      <c r="CK32" s="718">
        <f t="shared" si="119"/>
        <v>0</v>
      </c>
      <c r="CL32" s="718">
        <f t="shared" si="120"/>
        <v>0</v>
      </c>
      <c r="CM32" s="718">
        <f t="shared" si="121"/>
        <v>12</v>
      </c>
      <c r="CN32" s="715">
        <f t="shared" si="122"/>
        <v>132</v>
      </c>
      <c r="CO32" s="715">
        <f t="shared" si="123"/>
        <v>144</v>
      </c>
      <c r="CQ32" s="717">
        <f>IFERROR(CN32/#REF!,0)</f>
        <v>0</v>
      </c>
      <c r="CR32" s="717">
        <f>IFERROR(CO32/#REF!,0)</f>
        <v>0</v>
      </c>
    </row>
    <row r="33" spans="1:96">
      <c r="A33" s="701" t="s">
        <v>240</v>
      </c>
      <c r="B33" s="701" t="s">
        <v>322</v>
      </c>
      <c r="C33" s="714"/>
      <c r="D33" s="718">
        <v>3026</v>
      </c>
      <c r="E33" s="718">
        <v>167</v>
      </c>
      <c r="F33" s="718">
        <v>57</v>
      </c>
      <c r="G33" s="718">
        <v>105</v>
      </c>
      <c r="H33" s="715">
        <f t="shared" si="94"/>
        <v>3250</v>
      </c>
      <c r="I33" s="715">
        <f t="shared" si="95"/>
        <v>3131</v>
      </c>
      <c r="J33" s="714"/>
      <c r="K33" s="718">
        <v>3074</v>
      </c>
      <c r="L33" s="718">
        <v>179</v>
      </c>
      <c r="M33" s="718">
        <v>53</v>
      </c>
      <c r="N33" s="718">
        <v>106</v>
      </c>
      <c r="O33" s="715">
        <f t="shared" si="96"/>
        <v>3306</v>
      </c>
      <c r="P33" s="715">
        <f t="shared" si="97"/>
        <v>3180</v>
      </c>
      <c r="Q33" s="714"/>
      <c r="R33" s="718">
        <v>2740</v>
      </c>
      <c r="S33" s="718">
        <v>120</v>
      </c>
      <c r="T33" s="718">
        <v>31</v>
      </c>
      <c r="U33" s="718">
        <v>85</v>
      </c>
      <c r="V33" s="715">
        <f t="shared" si="98"/>
        <v>2891</v>
      </c>
      <c r="W33" s="715">
        <f t="shared" si="99"/>
        <v>2825</v>
      </c>
      <c r="X33" s="714"/>
      <c r="Y33" s="718">
        <v>3197</v>
      </c>
      <c r="Z33" s="718">
        <v>176</v>
      </c>
      <c r="AA33" s="718">
        <v>53</v>
      </c>
      <c r="AB33" s="718">
        <v>96</v>
      </c>
      <c r="AC33" s="715">
        <f t="shared" si="100"/>
        <v>3426</v>
      </c>
      <c r="AD33" s="715">
        <f t="shared" si="101"/>
        <v>3293</v>
      </c>
      <c r="AE33" s="714"/>
      <c r="AF33" s="718">
        <v>2683</v>
      </c>
      <c r="AG33" s="718">
        <v>128</v>
      </c>
      <c r="AH33" s="718">
        <v>55</v>
      </c>
      <c r="AI33" s="718">
        <v>112</v>
      </c>
      <c r="AJ33" s="715">
        <f t="shared" si="102"/>
        <v>2866</v>
      </c>
      <c r="AK33" s="715">
        <f t="shared" si="103"/>
        <v>2795</v>
      </c>
      <c r="AL33" s="714"/>
      <c r="AM33" s="718">
        <v>2194</v>
      </c>
      <c r="AN33" s="718">
        <v>93</v>
      </c>
      <c r="AO33" s="718">
        <v>41</v>
      </c>
      <c r="AP33" s="718">
        <v>121</v>
      </c>
      <c r="AQ33" s="715">
        <f t="shared" si="104"/>
        <v>2328</v>
      </c>
      <c r="AR33" s="715">
        <f t="shared" si="105"/>
        <v>2315</v>
      </c>
      <c r="AS33" s="714"/>
      <c r="AT33" s="718">
        <f>3048+20</f>
        <v>3068</v>
      </c>
      <c r="AU33" s="718">
        <v>96</v>
      </c>
      <c r="AV33" s="718">
        <v>46</v>
      </c>
      <c r="AW33" s="718">
        <v>127</v>
      </c>
      <c r="AX33" s="715">
        <f t="shared" si="106"/>
        <v>3210</v>
      </c>
      <c r="AY33" s="715">
        <f t="shared" si="107"/>
        <v>3195</v>
      </c>
      <c r="AZ33" s="714"/>
      <c r="BA33" s="718">
        <v>3003</v>
      </c>
      <c r="BB33" s="718">
        <v>90</v>
      </c>
      <c r="BC33" s="718">
        <v>73</v>
      </c>
      <c r="BD33" s="718">
        <v>118</v>
      </c>
      <c r="BE33" s="715">
        <f t="shared" si="108"/>
        <v>3166</v>
      </c>
      <c r="BF33" s="715">
        <f t="shared" si="109"/>
        <v>3121</v>
      </c>
      <c r="BG33" s="714"/>
      <c r="BH33" s="718">
        <v>3153</v>
      </c>
      <c r="BI33" s="718">
        <v>71</v>
      </c>
      <c r="BJ33" s="718">
        <v>83</v>
      </c>
      <c r="BK33" s="718">
        <v>127</v>
      </c>
      <c r="BL33" s="715">
        <f t="shared" si="110"/>
        <v>3307</v>
      </c>
      <c r="BM33" s="715">
        <f t="shared" si="111"/>
        <v>3280</v>
      </c>
      <c r="BN33" s="714"/>
      <c r="BO33" s="718">
        <v>3192</v>
      </c>
      <c r="BP33" s="718">
        <v>61</v>
      </c>
      <c r="BQ33" s="718">
        <v>63</v>
      </c>
      <c r="BR33" s="718">
        <v>90</v>
      </c>
      <c r="BS33" s="715">
        <f t="shared" si="112"/>
        <v>3316</v>
      </c>
      <c r="BT33" s="715">
        <f t="shared" si="113"/>
        <v>3282</v>
      </c>
      <c r="BU33" s="714"/>
      <c r="BV33" s="718">
        <v>3419</v>
      </c>
      <c r="BW33" s="718">
        <v>77</v>
      </c>
      <c r="BX33" s="718">
        <v>108</v>
      </c>
      <c r="BY33" s="718">
        <v>127</v>
      </c>
      <c r="BZ33" s="715">
        <f t="shared" si="114"/>
        <v>3604</v>
      </c>
      <c r="CA33" s="715">
        <f t="shared" si="115"/>
        <v>3546</v>
      </c>
      <c r="CB33" s="714"/>
      <c r="CC33" s="718">
        <v>3311</v>
      </c>
      <c r="CD33" s="718">
        <v>71</v>
      </c>
      <c r="CE33" s="718">
        <v>147</v>
      </c>
      <c r="CF33" s="718">
        <v>101</v>
      </c>
      <c r="CG33" s="715">
        <f t="shared" si="116"/>
        <v>3529</v>
      </c>
      <c r="CH33" s="715">
        <f t="shared" si="117"/>
        <v>3412</v>
      </c>
      <c r="CI33" s="714"/>
      <c r="CJ33" s="718">
        <f t="shared" si="118"/>
        <v>36060</v>
      </c>
      <c r="CK33" s="718">
        <f t="shared" si="119"/>
        <v>1329</v>
      </c>
      <c r="CL33" s="718">
        <f t="shared" si="120"/>
        <v>810</v>
      </c>
      <c r="CM33" s="718">
        <f t="shared" si="121"/>
        <v>1315</v>
      </c>
      <c r="CN33" s="715">
        <f t="shared" si="122"/>
        <v>38199</v>
      </c>
      <c r="CO33" s="715">
        <f t="shared" si="123"/>
        <v>37375</v>
      </c>
      <c r="CP33" s="719"/>
      <c r="CQ33" s="717">
        <f>IFERROR(CN33/#REF!,0)</f>
        <v>0</v>
      </c>
      <c r="CR33" s="717">
        <f>IFERROR(CO33/#REF!,0)</f>
        <v>0</v>
      </c>
    </row>
    <row r="34" spans="1:96">
      <c r="A34" s="701" t="s">
        <v>240</v>
      </c>
      <c r="B34" s="701" t="s">
        <v>321</v>
      </c>
      <c r="C34" s="714"/>
      <c r="D34" s="718">
        <v>59</v>
      </c>
      <c r="E34" s="718">
        <v>4</v>
      </c>
      <c r="F34" s="718">
        <v>1</v>
      </c>
      <c r="G34" s="718">
        <v>3</v>
      </c>
      <c r="H34" s="715">
        <f t="shared" si="94"/>
        <v>64</v>
      </c>
      <c r="I34" s="715">
        <f t="shared" si="95"/>
        <v>62</v>
      </c>
      <c r="J34" s="714"/>
      <c r="K34" s="718">
        <v>38</v>
      </c>
      <c r="L34" s="718">
        <v>1</v>
      </c>
      <c r="M34" s="718">
        <v>2</v>
      </c>
      <c r="N34" s="718">
        <v>3</v>
      </c>
      <c r="O34" s="715">
        <f t="shared" si="96"/>
        <v>41</v>
      </c>
      <c r="P34" s="715">
        <f t="shared" si="97"/>
        <v>41</v>
      </c>
      <c r="Q34" s="714"/>
      <c r="R34" s="718">
        <v>51</v>
      </c>
      <c r="S34" s="718">
        <v>1</v>
      </c>
      <c r="T34" s="718">
        <v>1</v>
      </c>
      <c r="U34" s="718">
        <v>2</v>
      </c>
      <c r="V34" s="715">
        <f t="shared" si="98"/>
        <v>53</v>
      </c>
      <c r="W34" s="715">
        <f t="shared" si="99"/>
        <v>53</v>
      </c>
      <c r="X34" s="714"/>
      <c r="Y34" s="718">
        <v>31</v>
      </c>
      <c r="Z34" s="718"/>
      <c r="AA34" s="718"/>
      <c r="AB34" s="718"/>
      <c r="AC34" s="715">
        <f t="shared" si="100"/>
        <v>31</v>
      </c>
      <c r="AD34" s="715">
        <f t="shared" si="101"/>
        <v>31</v>
      </c>
      <c r="AE34" s="714"/>
      <c r="AF34" s="718">
        <v>34</v>
      </c>
      <c r="AG34" s="718"/>
      <c r="AH34" s="718">
        <v>1</v>
      </c>
      <c r="AI34" s="718">
        <v>2</v>
      </c>
      <c r="AJ34" s="715">
        <f t="shared" si="102"/>
        <v>35</v>
      </c>
      <c r="AK34" s="715">
        <f t="shared" si="103"/>
        <v>36</v>
      </c>
      <c r="AL34" s="714"/>
      <c r="AM34" s="718">
        <v>38</v>
      </c>
      <c r="AN34" s="718"/>
      <c r="AO34" s="718"/>
      <c r="AP34" s="718">
        <v>3</v>
      </c>
      <c r="AQ34" s="715">
        <f t="shared" si="104"/>
        <v>38</v>
      </c>
      <c r="AR34" s="715">
        <f t="shared" si="105"/>
        <v>41</v>
      </c>
      <c r="AS34" s="714"/>
      <c r="AT34" s="718">
        <v>98</v>
      </c>
      <c r="AU34" s="718">
        <v>9</v>
      </c>
      <c r="AV34" s="718">
        <v>2</v>
      </c>
      <c r="AW34" s="718">
        <v>8</v>
      </c>
      <c r="AX34" s="715">
        <f>AT34+AU34+AV34</f>
        <v>109</v>
      </c>
      <c r="AY34" s="715">
        <f>AT34+AW34</f>
        <v>106</v>
      </c>
      <c r="AZ34" s="714"/>
      <c r="BA34" s="718">
        <v>51</v>
      </c>
      <c r="BB34" s="718">
        <v>13</v>
      </c>
      <c r="BC34" s="718">
        <v>5</v>
      </c>
      <c r="BD34" s="718"/>
      <c r="BE34" s="715">
        <f t="shared" si="108"/>
        <v>69</v>
      </c>
      <c r="BF34" s="715">
        <f t="shared" si="109"/>
        <v>51</v>
      </c>
      <c r="BG34" s="714"/>
      <c r="BH34" s="718">
        <v>56</v>
      </c>
      <c r="BI34" s="718">
        <v>6</v>
      </c>
      <c r="BJ34" s="718">
        <v>6</v>
      </c>
      <c r="BK34" s="718">
        <v>3</v>
      </c>
      <c r="BL34" s="715">
        <f>BH34+BI34+BJ34</f>
        <v>68</v>
      </c>
      <c r="BM34" s="715">
        <f>BH34+BK34</f>
        <v>59</v>
      </c>
      <c r="BN34" s="714"/>
      <c r="BO34" s="718">
        <v>109</v>
      </c>
      <c r="BP34" s="718">
        <v>7</v>
      </c>
      <c r="BQ34" s="718">
        <v>2</v>
      </c>
      <c r="BR34" s="718">
        <v>6</v>
      </c>
      <c r="BS34" s="715">
        <f>BO34+BP34+BQ34</f>
        <v>118</v>
      </c>
      <c r="BT34" s="715">
        <f>BO34+BR34</f>
        <v>115</v>
      </c>
      <c r="BU34" s="714"/>
      <c r="BV34" s="718">
        <v>100</v>
      </c>
      <c r="BW34" s="718">
        <v>11</v>
      </c>
      <c r="BX34" s="718">
        <v>23</v>
      </c>
      <c r="BY34" s="718">
        <v>5</v>
      </c>
      <c r="BZ34" s="715">
        <f t="shared" si="114"/>
        <v>134</v>
      </c>
      <c r="CA34" s="715">
        <f>BV34+BY34</f>
        <v>105</v>
      </c>
      <c r="CB34" s="714"/>
      <c r="CC34" s="718">
        <v>57</v>
      </c>
      <c r="CD34" s="718">
        <v>14</v>
      </c>
      <c r="CE34" s="718">
        <v>42</v>
      </c>
      <c r="CF34" s="718">
        <v>1</v>
      </c>
      <c r="CG34" s="715">
        <f>CC34+CD34+CE34</f>
        <v>113</v>
      </c>
      <c r="CH34" s="715">
        <f>CC34+CF34</f>
        <v>58</v>
      </c>
      <c r="CI34" s="714"/>
      <c r="CJ34" s="718">
        <f t="shared" si="118"/>
        <v>722</v>
      </c>
      <c r="CK34" s="718">
        <f t="shared" si="119"/>
        <v>66</v>
      </c>
      <c r="CL34" s="718">
        <f t="shared" si="120"/>
        <v>85</v>
      </c>
      <c r="CM34" s="718">
        <f t="shared" si="121"/>
        <v>36</v>
      </c>
      <c r="CN34" s="715">
        <f t="shared" si="122"/>
        <v>873</v>
      </c>
      <c r="CO34" s="715">
        <f t="shared" si="123"/>
        <v>758</v>
      </c>
      <c r="CP34" s="719"/>
      <c r="CQ34" s="717">
        <f>IFERROR(CN34/#REF!,0)</f>
        <v>0</v>
      </c>
      <c r="CR34" s="717">
        <f>IFERROR(CO34/#REF!,0)</f>
        <v>0</v>
      </c>
    </row>
    <row r="35" spans="1:96">
      <c r="A35" s="701" t="s">
        <v>240</v>
      </c>
      <c r="B35" s="701" t="s">
        <v>320</v>
      </c>
      <c r="C35" s="714"/>
      <c r="D35" s="718">
        <v>62</v>
      </c>
      <c r="E35" s="718">
        <v>4</v>
      </c>
      <c r="F35" s="718">
        <v>3</v>
      </c>
      <c r="G35" s="718"/>
      <c r="H35" s="715">
        <f t="shared" si="94"/>
        <v>69</v>
      </c>
      <c r="I35" s="715">
        <f t="shared" si="95"/>
        <v>62</v>
      </c>
      <c r="J35" s="714"/>
      <c r="K35" s="718">
        <v>39</v>
      </c>
      <c r="L35" s="718"/>
      <c r="M35" s="718"/>
      <c r="N35" s="718">
        <v>1</v>
      </c>
      <c r="O35" s="715">
        <f t="shared" si="96"/>
        <v>39</v>
      </c>
      <c r="P35" s="715">
        <f t="shared" si="97"/>
        <v>40</v>
      </c>
      <c r="Q35" s="714"/>
      <c r="R35" s="718">
        <v>36</v>
      </c>
      <c r="S35" s="718">
        <v>2</v>
      </c>
      <c r="T35" s="718"/>
      <c r="U35" s="718"/>
      <c r="V35" s="715">
        <f t="shared" si="98"/>
        <v>38</v>
      </c>
      <c r="W35" s="715">
        <f t="shared" si="99"/>
        <v>36</v>
      </c>
      <c r="X35" s="714"/>
      <c r="Y35" s="718">
        <v>39</v>
      </c>
      <c r="Z35" s="718"/>
      <c r="AA35" s="718">
        <v>5</v>
      </c>
      <c r="AB35" s="718">
        <v>1</v>
      </c>
      <c r="AC35" s="715">
        <f t="shared" si="100"/>
        <v>44</v>
      </c>
      <c r="AD35" s="715">
        <f t="shared" si="101"/>
        <v>40</v>
      </c>
      <c r="AE35" s="714"/>
      <c r="AF35" s="718">
        <v>32</v>
      </c>
      <c r="AG35" s="718"/>
      <c r="AH35" s="718">
        <v>6</v>
      </c>
      <c r="AI35" s="718">
        <v>3</v>
      </c>
      <c r="AJ35" s="715">
        <f t="shared" si="102"/>
        <v>38</v>
      </c>
      <c r="AK35" s="715">
        <f t="shared" si="103"/>
        <v>35</v>
      </c>
      <c r="AL35" s="714"/>
      <c r="AM35" s="718">
        <v>38</v>
      </c>
      <c r="AN35" s="718">
        <v>2</v>
      </c>
      <c r="AO35" s="718"/>
      <c r="AP35" s="718">
        <v>2</v>
      </c>
      <c r="AQ35" s="715">
        <f t="shared" si="104"/>
        <v>40</v>
      </c>
      <c r="AR35" s="715">
        <f t="shared" si="105"/>
        <v>40</v>
      </c>
      <c r="AS35" s="714"/>
      <c r="AT35" s="718">
        <v>56</v>
      </c>
      <c r="AU35" s="718">
        <v>7</v>
      </c>
      <c r="AV35" s="718">
        <v>4</v>
      </c>
      <c r="AW35" s="718"/>
      <c r="AX35" s="715">
        <f>AT35+AU35+AV35</f>
        <v>67</v>
      </c>
      <c r="AY35" s="715">
        <f>AT35+AW35</f>
        <v>56</v>
      </c>
      <c r="AZ35" s="714"/>
      <c r="BA35" s="718">
        <v>60</v>
      </c>
      <c r="BB35" s="718"/>
      <c r="BC35" s="718">
        <v>7</v>
      </c>
      <c r="BD35" s="718">
        <v>1</v>
      </c>
      <c r="BE35" s="715">
        <f t="shared" si="108"/>
        <v>67</v>
      </c>
      <c r="BF35" s="715">
        <f t="shared" si="109"/>
        <v>61</v>
      </c>
      <c r="BG35" s="714"/>
      <c r="BH35" s="718">
        <v>100</v>
      </c>
      <c r="BI35" s="718">
        <v>4</v>
      </c>
      <c r="BJ35" s="718">
        <v>7</v>
      </c>
      <c r="BK35" s="718"/>
      <c r="BL35" s="715">
        <f>BH35+BI35+BJ35</f>
        <v>111</v>
      </c>
      <c r="BM35" s="715">
        <f>BH35+BK35</f>
        <v>100</v>
      </c>
      <c r="BN35" s="714"/>
      <c r="BO35" s="718">
        <v>65</v>
      </c>
      <c r="BP35" s="718"/>
      <c r="BQ35" s="718"/>
      <c r="BR35" s="718">
        <v>2</v>
      </c>
      <c r="BS35" s="715">
        <f>BO35+BP35+BQ35</f>
        <v>65</v>
      </c>
      <c r="BT35" s="715">
        <f>BO35+BR35</f>
        <v>67</v>
      </c>
      <c r="BU35" s="714"/>
      <c r="BV35" s="718">
        <v>96</v>
      </c>
      <c r="BW35" s="718">
        <v>5</v>
      </c>
      <c r="BX35" s="718">
        <v>17</v>
      </c>
      <c r="BY35" s="718">
        <v>2</v>
      </c>
      <c r="BZ35" s="715">
        <f t="shared" si="114"/>
        <v>118</v>
      </c>
      <c r="CA35" s="715">
        <f>BV35+BY35</f>
        <v>98</v>
      </c>
      <c r="CB35" s="714"/>
      <c r="CC35" s="718">
        <v>124</v>
      </c>
      <c r="CD35" s="718">
        <v>7</v>
      </c>
      <c r="CE35" s="718">
        <v>11</v>
      </c>
      <c r="CF35" s="718">
        <v>4</v>
      </c>
      <c r="CG35" s="715">
        <f>CC35+CD35+CE35</f>
        <v>142</v>
      </c>
      <c r="CH35" s="715">
        <f>CC35+CF35</f>
        <v>128</v>
      </c>
      <c r="CI35" s="714"/>
      <c r="CJ35" s="718">
        <f t="shared" si="118"/>
        <v>747</v>
      </c>
      <c r="CK35" s="718">
        <f t="shared" si="119"/>
        <v>31</v>
      </c>
      <c r="CL35" s="718">
        <f t="shared" si="120"/>
        <v>60</v>
      </c>
      <c r="CM35" s="718">
        <f t="shared" si="121"/>
        <v>16</v>
      </c>
      <c r="CN35" s="715">
        <f t="shared" si="122"/>
        <v>838</v>
      </c>
      <c r="CO35" s="715">
        <f t="shared" si="123"/>
        <v>763</v>
      </c>
      <c r="CP35" s="719"/>
      <c r="CQ35" s="717">
        <f>IFERROR(CN35/#REF!,0)</f>
        <v>0</v>
      </c>
      <c r="CR35" s="717">
        <f>IFERROR(CO35/#REF!,0)</f>
        <v>0</v>
      </c>
    </row>
    <row r="36" spans="1:96">
      <c r="A36" s="701" t="s">
        <v>120</v>
      </c>
      <c r="B36" s="701" t="s">
        <v>149</v>
      </c>
      <c r="C36" s="714"/>
      <c r="D36" s="718">
        <v>1867</v>
      </c>
      <c r="E36" s="718">
        <v>129</v>
      </c>
      <c r="F36" s="718">
        <v>34</v>
      </c>
      <c r="G36" s="718">
        <v>139</v>
      </c>
      <c r="H36" s="715">
        <f t="shared" si="94"/>
        <v>2030</v>
      </c>
      <c r="I36" s="715">
        <f t="shared" si="95"/>
        <v>2006</v>
      </c>
      <c r="J36" s="714"/>
      <c r="K36" s="718">
        <v>2141</v>
      </c>
      <c r="L36" s="718">
        <v>182</v>
      </c>
      <c r="M36" s="718">
        <v>37</v>
      </c>
      <c r="N36" s="718">
        <v>141</v>
      </c>
      <c r="O36" s="715">
        <f t="shared" si="96"/>
        <v>2360</v>
      </c>
      <c r="P36" s="715">
        <f t="shared" si="97"/>
        <v>2282</v>
      </c>
      <c r="Q36" s="714"/>
      <c r="R36" s="718">
        <v>1922</v>
      </c>
      <c r="S36" s="718">
        <v>218</v>
      </c>
      <c r="T36" s="718">
        <v>34</v>
      </c>
      <c r="U36" s="718">
        <v>100</v>
      </c>
      <c r="V36" s="715">
        <f t="shared" si="98"/>
        <v>2174</v>
      </c>
      <c r="W36" s="715">
        <f t="shared" si="99"/>
        <v>2022</v>
      </c>
      <c r="X36" s="714"/>
      <c r="Y36" s="718">
        <v>2195</v>
      </c>
      <c r="Z36" s="718">
        <v>243</v>
      </c>
      <c r="AA36" s="718">
        <v>36</v>
      </c>
      <c r="AB36" s="718">
        <v>112</v>
      </c>
      <c r="AC36" s="715">
        <f t="shared" si="100"/>
        <v>2474</v>
      </c>
      <c r="AD36" s="715">
        <f t="shared" si="101"/>
        <v>2307</v>
      </c>
      <c r="AE36" s="714"/>
      <c r="AF36" s="718">
        <v>2074</v>
      </c>
      <c r="AG36" s="718">
        <v>188</v>
      </c>
      <c r="AH36" s="718">
        <v>22</v>
      </c>
      <c r="AI36" s="718">
        <v>94</v>
      </c>
      <c r="AJ36" s="715">
        <f t="shared" si="102"/>
        <v>2284</v>
      </c>
      <c r="AK36" s="715">
        <f t="shared" si="103"/>
        <v>2168</v>
      </c>
      <c r="AL36" s="714"/>
      <c r="AM36" s="718">
        <v>1734</v>
      </c>
      <c r="AN36" s="718">
        <v>157</v>
      </c>
      <c r="AO36" s="718">
        <v>16</v>
      </c>
      <c r="AP36" s="718">
        <v>99</v>
      </c>
      <c r="AQ36" s="715">
        <f t="shared" si="104"/>
        <v>1907</v>
      </c>
      <c r="AR36" s="715">
        <f t="shared" si="105"/>
        <v>1833</v>
      </c>
      <c r="AS36" s="714"/>
      <c r="AT36" s="718">
        <v>2072</v>
      </c>
      <c r="AU36" s="718">
        <v>150</v>
      </c>
      <c r="AV36" s="718">
        <v>26</v>
      </c>
      <c r="AW36" s="718">
        <v>115</v>
      </c>
      <c r="AX36" s="715">
        <f t="shared" si="106"/>
        <v>2248</v>
      </c>
      <c r="AY36" s="715">
        <f t="shared" si="107"/>
        <v>2187</v>
      </c>
      <c r="AZ36" s="714"/>
      <c r="BA36" s="718">
        <v>1963</v>
      </c>
      <c r="BB36" s="718">
        <v>191</v>
      </c>
      <c r="BC36" s="718">
        <v>16</v>
      </c>
      <c r="BD36" s="718">
        <v>117</v>
      </c>
      <c r="BE36" s="715">
        <f t="shared" si="108"/>
        <v>2170</v>
      </c>
      <c r="BF36" s="715">
        <f t="shared" si="109"/>
        <v>2080</v>
      </c>
      <c r="BG36" s="714"/>
      <c r="BH36" s="718">
        <v>2207</v>
      </c>
      <c r="BI36" s="718">
        <v>236</v>
      </c>
      <c r="BJ36" s="718">
        <v>21</v>
      </c>
      <c r="BK36" s="718">
        <v>125</v>
      </c>
      <c r="BL36" s="715">
        <f t="shared" si="110"/>
        <v>2464</v>
      </c>
      <c r="BM36" s="715">
        <f t="shared" si="111"/>
        <v>2332</v>
      </c>
      <c r="BN36" s="714"/>
      <c r="BO36" s="718">
        <v>2106</v>
      </c>
      <c r="BP36" s="718">
        <v>215</v>
      </c>
      <c r="BQ36" s="718">
        <v>24</v>
      </c>
      <c r="BR36" s="718">
        <v>91</v>
      </c>
      <c r="BS36" s="715">
        <f t="shared" si="112"/>
        <v>2345</v>
      </c>
      <c r="BT36" s="715">
        <f t="shared" si="113"/>
        <v>2197</v>
      </c>
      <c r="BU36" s="714"/>
      <c r="BV36" s="718">
        <v>2221</v>
      </c>
      <c r="BW36" s="718">
        <v>197</v>
      </c>
      <c r="BX36" s="718">
        <v>36</v>
      </c>
      <c r="BY36" s="718">
        <v>96</v>
      </c>
      <c r="BZ36" s="715">
        <f t="shared" si="114"/>
        <v>2454</v>
      </c>
      <c r="CA36" s="715">
        <f t="shared" si="115"/>
        <v>2317</v>
      </c>
      <c r="CB36" s="714"/>
      <c r="CC36" s="718">
        <v>2039</v>
      </c>
      <c r="CD36" s="718">
        <v>204</v>
      </c>
      <c r="CE36" s="718">
        <v>21</v>
      </c>
      <c r="CF36" s="718">
        <v>88</v>
      </c>
      <c r="CG36" s="715">
        <f t="shared" si="116"/>
        <v>2264</v>
      </c>
      <c r="CH36" s="715">
        <f t="shared" si="117"/>
        <v>2127</v>
      </c>
      <c r="CI36" s="714"/>
      <c r="CJ36" s="718">
        <f t="shared" si="118"/>
        <v>24541</v>
      </c>
      <c r="CK36" s="718">
        <f t="shared" si="119"/>
        <v>2310</v>
      </c>
      <c r="CL36" s="718">
        <f t="shared" si="120"/>
        <v>323</v>
      </c>
      <c r="CM36" s="718">
        <f t="shared" si="121"/>
        <v>1317</v>
      </c>
      <c r="CN36" s="715">
        <f t="shared" si="122"/>
        <v>27174</v>
      </c>
      <c r="CO36" s="715">
        <f t="shared" si="123"/>
        <v>25858</v>
      </c>
      <c r="CQ36" s="717">
        <f>IFERROR(CN36/#REF!,0)</f>
        <v>0</v>
      </c>
      <c r="CR36" s="717">
        <f>IFERROR(CO36/#REF!,0)</f>
        <v>0</v>
      </c>
    </row>
    <row r="37" spans="1:96">
      <c r="A37" s="701" t="s">
        <v>120</v>
      </c>
      <c r="B37" s="701" t="s">
        <v>150</v>
      </c>
      <c r="C37" s="714"/>
      <c r="D37" s="718">
        <v>1621</v>
      </c>
      <c r="E37" s="718">
        <v>44</v>
      </c>
      <c r="F37" s="718">
        <v>12</v>
      </c>
      <c r="G37" s="718">
        <v>17</v>
      </c>
      <c r="H37" s="715">
        <f t="shared" si="94"/>
        <v>1677</v>
      </c>
      <c r="I37" s="715">
        <f t="shared" si="95"/>
        <v>1638</v>
      </c>
      <c r="J37" s="714"/>
      <c r="K37" s="718">
        <v>1760</v>
      </c>
      <c r="L37" s="718">
        <v>41</v>
      </c>
      <c r="M37" s="718">
        <v>2</v>
      </c>
      <c r="N37" s="718">
        <v>26</v>
      </c>
      <c r="O37" s="715">
        <f t="shared" si="96"/>
        <v>1803</v>
      </c>
      <c r="P37" s="715">
        <f t="shared" si="97"/>
        <v>1786</v>
      </c>
      <c r="Q37" s="714"/>
      <c r="R37" s="718">
        <v>1524</v>
      </c>
      <c r="S37" s="718">
        <v>24</v>
      </c>
      <c r="T37" s="718">
        <v>7</v>
      </c>
      <c r="U37" s="718">
        <v>18</v>
      </c>
      <c r="V37" s="715">
        <f t="shared" si="98"/>
        <v>1555</v>
      </c>
      <c r="W37" s="715">
        <f t="shared" si="99"/>
        <v>1542</v>
      </c>
      <c r="X37" s="714"/>
      <c r="Y37" s="718">
        <v>1679</v>
      </c>
      <c r="Z37" s="718">
        <v>36</v>
      </c>
      <c r="AA37" s="718">
        <v>11</v>
      </c>
      <c r="AB37" s="718">
        <v>23</v>
      </c>
      <c r="AC37" s="715">
        <f t="shared" si="100"/>
        <v>1726</v>
      </c>
      <c r="AD37" s="715">
        <f t="shared" si="101"/>
        <v>1702</v>
      </c>
      <c r="AE37" s="714"/>
      <c r="AF37" s="718">
        <v>1420</v>
      </c>
      <c r="AG37" s="718">
        <v>37</v>
      </c>
      <c r="AH37" s="718">
        <v>4</v>
      </c>
      <c r="AI37" s="718">
        <v>27</v>
      </c>
      <c r="AJ37" s="715">
        <f t="shared" si="102"/>
        <v>1461</v>
      </c>
      <c r="AK37" s="715">
        <f t="shared" si="103"/>
        <v>1447</v>
      </c>
      <c r="AL37" s="714"/>
      <c r="AM37" s="718">
        <v>1218</v>
      </c>
      <c r="AN37" s="718">
        <v>25</v>
      </c>
      <c r="AO37" s="718">
        <v>16</v>
      </c>
      <c r="AP37" s="718">
        <v>27</v>
      </c>
      <c r="AQ37" s="715">
        <f t="shared" si="104"/>
        <v>1259</v>
      </c>
      <c r="AR37" s="715">
        <f t="shared" si="105"/>
        <v>1245</v>
      </c>
      <c r="AS37" s="714"/>
      <c r="AT37" s="718">
        <v>1598</v>
      </c>
      <c r="AU37" s="718">
        <v>44</v>
      </c>
      <c r="AV37" s="718">
        <v>8</v>
      </c>
      <c r="AW37" s="718">
        <v>27</v>
      </c>
      <c r="AX37" s="715">
        <f t="shared" si="106"/>
        <v>1650</v>
      </c>
      <c r="AY37" s="715">
        <f t="shared" si="107"/>
        <v>1625</v>
      </c>
      <c r="AZ37" s="714"/>
      <c r="BA37" s="718">
        <v>1598</v>
      </c>
      <c r="BB37" s="718">
        <v>54</v>
      </c>
      <c r="BC37" s="718">
        <v>30</v>
      </c>
      <c r="BD37" s="718">
        <v>30</v>
      </c>
      <c r="BE37" s="715">
        <f t="shared" si="108"/>
        <v>1682</v>
      </c>
      <c r="BF37" s="715">
        <f t="shared" si="109"/>
        <v>1628</v>
      </c>
      <c r="BG37" s="714"/>
      <c r="BH37" s="718">
        <v>1568</v>
      </c>
      <c r="BI37" s="718">
        <v>71</v>
      </c>
      <c r="BJ37" s="718">
        <v>22</v>
      </c>
      <c r="BK37" s="718">
        <v>21</v>
      </c>
      <c r="BL37" s="715">
        <f t="shared" si="110"/>
        <v>1661</v>
      </c>
      <c r="BM37" s="715">
        <f t="shared" si="111"/>
        <v>1589</v>
      </c>
      <c r="BN37" s="714"/>
      <c r="BO37" s="718">
        <v>1551</v>
      </c>
      <c r="BP37" s="718">
        <v>81</v>
      </c>
      <c r="BQ37" s="718">
        <v>13</v>
      </c>
      <c r="BR37" s="718">
        <v>18</v>
      </c>
      <c r="BS37" s="715">
        <f t="shared" si="112"/>
        <v>1645</v>
      </c>
      <c r="BT37" s="715">
        <f t="shared" si="113"/>
        <v>1569</v>
      </c>
      <c r="BU37" s="714"/>
      <c r="BV37" s="718">
        <v>1660</v>
      </c>
      <c r="BW37" s="718">
        <v>77</v>
      </c>
      <c r="BX37" s="718">
        <v>7</v>
      </c>
      <c r="BY37" s="718">
        <v>28</v>
      </c>
      <c r="BZ37" s="715">
        <f t="shared" si="114"/>
        <v>1744</v>
      </c>
      <c r="CA37" s="715">
        <f t="shared" si="115"/>
        <v>1688</v>
      </c>
      <c r="CB37" s="714"/>
      <c r="CC37" s="718">
        <v>1488</v>
      </c>
      <c r="CD37" s="718">
        <v>44</v>
      </c>
      <c r="CE37" s="718">
        <v>10</v>
      </c>
      <c r="CF37" s="718">
        <v>16</v>
      </c>
      <c r="CG37" s="715">
        <f t="shared" si="116"/>
        <v>1542</v>
      </c>
      <c r="CH37" s="715">
        <f t="shared" si="117"/>
        <v>1504</v>
      </c>
      <c r="CI37" s="714"/>
      <c r="CJ37" s="718">
        <f t="shared" si="118"/>
        <v>18685</v>
      </c>
      <c r="CK37" s="718">
        <f t="shared" si="119"/>
        <v>578</v>
      </c>
      <c r="CL37" s="718">
        <f t="shared" si="120"/>
        <v>142</v>
      </c>
      <c r="CM37" s="718">
        <f t="shared" si="121"/>
        <v>278</v>
      </c>
      <c r="CN37" s="715">
        <f t="shared" si="122"/>
        <v>19405</v>
      </c>
      <c r="CO37" s="715">
        <f t="shared" si="123"/>
        <v>18963</v>
      </c>
      <c r="CQ37" s="717">
        <f>IFERROR(CN37/#REF!,0)</f>
        <v>0</v>
      </c>
      <c r="CR37" s="717">
        <f>IFERROR(CO37/#REF!,0)</f>
        <v>0</v>
      </c>
    </row>
    <row r="38" spans="1:96">
      <c r="A38" s="701" t="s">
        <v>120</v>
      </c>
      <c r="B38" s="701" t="s">
        <v>331</v>
      </c>
      <c r="C38" s="714"/>
      <c r="D38" s="718">
        <v>457</v>
      </c>
      <c r="E38" s="718">
        <v>18</v>
      </c>
      <c r="F38" s="718"/>
      <c r="G38" s="718">
        <v>19</v>
      </c>
      <c r="H38" s="715">
        <f t="shared" si="94"/>
        <v>475</v>
      </c>
      <c r="I38" s="715">
        <f t="shared" si="95"/>
        <v>476</v>
      </c>
      <c r="J38" s="714"/>
      <c r="K38" s="718">
        <v>472</v>
      </c>
      <c r="L38" s="718">
        <v>24</v>
      </c>
      <c r="M38" s="718">
        <v>2</v>
      </c>
      <c r="N38" s="718">
        <v>17</v>
      </c>
      <c r="O38" s="715">
        <f t="shared" si="96"/>
        <v>498</v>
      </c>
      <c r="P38" s="715">
        <f t="shared" si="97"/>
        <v>489</v>
      </c>
      <c r="Q38" s="714"/>
      <c r="R38" s="718">
        <v>413</v>
      </c>
      <c r="S38" s="718">
        <v>25</v>
      </c>
      <c r="T38" s="718"/>
      <c r="U38" s="718">
        <v>21</v>
      </c>
      <c r="V38" s="715">
        <f t="shared" si="98"/>
        <v>438</v>
      </c>
      <c r="W38" s="715">
        <f t="shared" si="99"/>
        <v>434</v>
      </c>
      <c r="X38" s="714"/>
      <c r="Y38" s="718">
        <v>521</v>
      </c>
      <c r="Z38" s="718">
        <v>38</v>
      </c>
      <c r="AA38" s="718"/>
      <c r="AB38" s="718">
        <v>10</v>
      </c>
      <c r="AC38" s="715">
        <f t="shared" si="100"/>
        <v>559</v>
      </c>
      <c r="AD38" s="715">
        <f t="shared" si="101"/>
        <v>531</v>
      </c>
      <c r="AE38" s="714"/>
      <c r="AF38" s="718">
        <v>411</v>
      </c>
      <c r="AG38" s="718">
        <v>16</v>
      </c>
      <c r="AH38" s="718">
        <v>2</v>
      </c>
      <c r="AI38" s="718">
        <v>11</v>
      </c>
      <c r="AJ38" s="715">
        <f t="shared" si="102"/>
        <v>429</v>
      </c>
      <c r="AK38" s="715">
        <f t="shared" si="103"/>
        <v>422</v>
      </c>
      <c r="AL38" s="714"/>
      <c r="AM38" s="718">
        <v>382</v>
      </c>
      <c r="AN38" s="718">
        <v>15</v>
      </c>
      <c r="AO38" s="718">
        <v>2</v>
      </c>
      <c r="AP38" s="718">
        <v>15</v>
      </c>
      <c r="AQ38" s="715">
        <f t="shared" si="104"/>
        <v>399</v>
      </c>
      <c r="AR38" s="715">
        <f t="shared" si="105"/>
        <v>397</v>
      </c>
      <c r="AS38" s="714"/>
      <c r="AT38" s="718">
        <v>511</v>
      </c>
      <c r="AU38" s="718">
        <v>26</v>
      </c>
      <c r="AV38" s="718">
        <v>10</v>
      </c>
      <c r="AW38" s="718">
        <v>16</v>
      </c>
      <c r="AX38" s="715">
        <f t="shared" si="106"/>
        <v>547</v>
      </c>
      <c r="AY38" s="715">
        <f t="shared" si="107"/>
        <v>527</v>
      </c>
      <c r="AZ38" s="714"/>
      <c r="BA38" s="718">
        <v>444</v>
      </c>
      <c r="BB38" s="718">
        <v>26</v>
      </c>
      <c r="BC38" s="718">
        <v>2</v>
      </c>
      <c r="BD38" s="718">
        <v>22</v>
      </c>
      <c r="BE38" s="715">
        <f t="shared" si="108"/>
        <v>472</v>
      </c>
      <c r="BF38" s="715">
        <f t="shared" si="109"/>
        <v>466</v>
      </c>
      <c r="BG38" s="714"/>
      <c r="BH38" s="718">
        <v>518</v>
      </c>
      <c r="BI38" s="718">
        <v>37</v>
      </c>
      <c r="BJ38" s="718"/>
      <c r="BK38" s="718">
        <v>17</v>
      </c>
      <c r="BL38" s="715">
        <f t="shared" si="110"/>
        <v>555</v>
      </c>
      <c r="BM38" s="715">
        <f t="shared" si="111"/>
        <v>535</v>
      </c>
      <c r="BN38" s="714"/>
      <c r="BO38" s="718">
        <v>512</v>
      </c>
      <c r="BP38" s="718">
        <v>22</v>
      </c>
      <c r="BQ38" s="718">
        <v>4</v>
      </c>
      <c r="BR38" s="718">
        <v>15</v>
      </c>
      <c r="BS38" s="715">
        <f t="shared" si="112"/>
        <v>538</v>
      </c>
      <c r="BT38" s="715">
        <f t="shared" si="113"/>
        <v>527</v>
      </c>
      <c r="BU38" s="714"/>
      <c r="BV38" s="718">
        <v>539</v>
      </c>
      <c r="BW38" s="718">
        <v>31</v>
      </c>
      <c r="BX38" s="718"/>
      <c r="BY38" s="718">
        <v>18</v>
      </c>
      <c r="BZ38" s="715">
        <f t="shared" si="114"/>
        <v>570</v>
      </c>
      <c r="CA38" s="715">
        <f t="shared" si="115"/>
        <v>557</v>
      </c>
      <c r="CB38" s="714"/>
      <c r="CC38" s="718">
        <v>442</v>
      </c>
      <c r="CD38" s="718">
        <v>22</v>
      </c>
      <c r="CE38" s="718">
        <v>8</v>
      </c>
      <c r="CF38" s="718">
        <v>12</v>
      </c>
      <c r="CG38" s="715">
        <f t="shared" si="116"/>
        <v>472</v>
      </c>
      <c r="CH38" s="715">
        <f t="shared" si="117"/>
        <v>454</v>
      </c>
      <c r="CI38" s="714"/>
      <c r="CJ38" s="718">
        <f t="shared" si="118"/>
        <v>5622</v>
      </c>
      <c r="CK38" s="718">
        <f t="shared" si="119"/>
        <v>300</v>
      </c>
      <c r="CL38" s="718">
        <f t="shared" si="120"/>
        <v>30</v>
      </c>
      <c r="CM38" s="718">
        <f t="shared" si="121"/>
        <v>193</v>
      </c>
      <c r="CN38" s="715">
        <f t="shared" si="122"/>
        <v>5952</v>
      </c>
      <c r="CO38" s="715">
        <f t="shared" si="123"/>
        <v>5815</v>
      </c>
      <c r="CQ38" s="717">
        <f>IFERROR(CN38/#REF!,0)</f>
        <v>0</v>
      </c>
      <c r="CR38" s="717">
        <f>IFERROR(CO38/#REF!,0)</f>
        <v>0</v>
      </c>
    </row>
    <row r="39" spans="1:96">
      <c r="A39" s="702" t="s">
        <v>120</v>
      </c>
      <c r="B39" s="702" t="s">
        <v>134</v>
      </c>
      <c r="C39" s="714"/>
      <c r="D39" s="718">
        <v>895</v>
      </c>
      <c r="E39" s="720"/>
      <c r="F39" s="720"/>
      <c r="G39" s="720"/>
      <c r="H39" s="716">
        <f t="shared" si="94"/>
        <v>895</v>
      </c>
      <c r="I39" s="716">
        <f t="shared" si="95"/>
        <v>895</v>
      </c>
      <c r="J39" s="714"/>
      <c r="K39" s="718">
        <v>948</v>
      </c>
      <c r="L39" s="720"/>
      <c r="M39" s="720"/>
      <c r="N39" s="720"/>
      <c r="O39" s="716">
        <f t="shared" si="96"/>
        <v>948</v>
      </c>
      <c r="P39" s="716">
        <f t="shared" si="97"/>
        <v>948</v>
      </c>
      <c r="Q39" s="714"/>
      <c r="R39" s="718">
        <v>854</v>
      </c>
      <c r="S39" s="720"/>
      <c r="T39" s="720"/>
      <c r="U39" s="720"/>
      <c r="V39" s="716">
        <f t="shared" si="98"/>
        <v>854</v>
      </c>
      <c r="W39" s="716">
        <f t="shared" si="99"/>
        <v>854</v>
      </c>
      <c r="X39" s="714"/>
      <c r="Y39" s="718">
        <v>1043</v>
      </c>
      <c r="Z39" s="720"/>
      <c r="AA39" s="720"/>
      <c r="AB39" s="720"/>
      <c r="AC39" s="716">
        <f t="shared" si="100"/>
        <v>1043</v>
      </c>
      <c r="AD39" s="716">
        <f t="shared" si="101"/>
        <v>1043</v>
      </c>
      <c r="AE39" s="714"/>
      <c r="AF39" s="718">
        <v>936</v>
      </c>
      <c r="AG39" s="720"/>
      <c r="AH39" s="720"/>
      <c r="AI39" s="720"/>
      <c r="AJ39" s="716">
        <f t="shared" si="102"/>
        <v>936</v>
      </c>
      <c r="AK39" s="716">
        <f t="shared" si="103"/>
        <v>936</v>
      </c>
      <c r="AL39" s="714"/>
      <c r="AM39" s="718">
        <v>838</v>
      </c>
      <c r="AN39" s="720"/>
      <c r="AO39" s="720"/>
      <c r="AP39" s="720"/>
      <c r="AQ39" s="716">
        <f t="shared" si="104"/>
        <v>838</v>
      </c>
      <c r="AR39" s="716">
        <f t="shared" si="105"/>
        <v>838</v>
      </c>
      <c r="AS39" s="714"/>
      <c r="AT39" s="718">
        <v>1166</v>
      </c>
      <c r="AU39" s="720"/>
      <c r="AV39" s="720"/>
      <c r="AW39" s="720"/>
      <c r="AX39" s="716">
        <f t="shared" si="106"/>
        <v>1166</v>
      </c>
      <c r="AY39" s="716">
        <f t="shared" si="107"/>
        <v>1166</v>
      </c>
      <c r="AZ39" s="714"/>
      <c r="BA39" s="718">
        <v>1018</v>
      </c>
      <c r="BB39" s="720"/>
      <c r="BC39" s="720"/>
      <c r="BD39" s="720"/>
      <c r="BE39" s="716">
        <f t="shared" si="108"/>
        <v>1018</v>
      </c>
      <c r="BF39" s="716">
        <f t="shared" si="109"/>
        <v>1018</v>
      </c>
      <c r="BG39" s="714"/>
      <c r="BH39" s="718">
        <v>1141</v>
      </c>
      <c r="BI39" s="720"/>
      <c r="BJ39" s="720"/>
      <c r="BK39" s="720"/>
      <c r="BL39" s="716">
        <f t="shared" si="110"/>
        <v>1141</v>
      </c>
      <c r="BM39" s="716">
        <f t="shared" si="111"/>
        <v>1141</v>
      </c>
      <c r="BN39" s="714"/>
      <c r="BO39" s="718">
        <v>1098</v>
      </c>
      <c r="BP39" s="720"/>
      <c r="BQ39" s="720"/>
      <c r="BR39" s="720"/>
      <c r="BS39" s="716">
        <f t="shared" si="112"/>
        <v>1098</v>
      </c>
      <c r="BT39" s="716">
        <f t="shared" si="113"/>
        <v>1098</v>
      </c>
      <c r="BU39" s="714"/>
      <c r="BV39" s="718">
        <v>1095</v>
      </c>
      <c r="BW39" s="720"/>
      <c r="BX39" s="720"/>
      <c r="BY39" s="720"/>
      <c r="BZ39" s="716">
        <f t="shared" si="114"/>
        <v>1095</v>
      </c>
      <c r="CA39" s="716">
        <f t="shared" si="115"/>
        <v>1095</v>
      </c>
      <c r="CB39" s="714"/>
      <c r="CC39" s="718">
        <v>1125</v>
      </c>
      <c r="CD39" s="720"/>
      <c r="CE39" s="720"/>
      <c r="CF39" s="720"/>
      <c r="CG39" s="716">
        <f t="shared" si="116"/>
        <v>1125</v>
      </c>
      <c r="CH39" s="716">
        <f t="shared" si="117"/>
        <v>1125</v>
      </c>
      <c r="CI39" s="714"/>
      <c r="CJ39" s="718">
        <f t="shared" si="118"/>
        <v>12157</v>
      </c>
      <c r="CK39" s="720">
        <f t="shared" si="119"/>
        <v>0</v>
      </c>
      <c r="CL39" s="720">
        <f t="shared" si="120"/>
        <v>0</v>
      </c>
      <c r="CM39" s="720">
        <f t="shared" si="121"/>
        <v>0</v>
      </c>
      <c r="CN39" s="716">
        <f t="shared" si="122"/>
        <v>12157</v>
      </c>
      <c r="CO39" s="716">
        <f t="shared" si="123"/>
        <v>12157</v>
      </c>
      <c r="CQ39" s="717">
        <f>IFERROR(CN39/#REF!,0)</f>
        <v>0</v>
      </c>
      <c r="CR39" s="717">
        <f>IFERROR(CO39/#REF!,0)</f>
        <v>0</v>
      </c>
    </row>
    <row r="40" spans="1:96">
      <c r="A40" s="702" t="s">
        <v>120</v>
      </c>
      <c r="B40" s="702" t="s">
        <v>135</v>
      </c>
      <c r="C40" s="714"/>
      <c r="D40" s="718">
        <v>879</v>
      </c>
      <c r="E40" s="720"/>
      <c r="F40" s="720"/>
      <c r="G40" s="720"/>
      <c r="H40" s="716">
        <f t="shared" si="94"/>
        <v>879</v>
      </c>
      <c r="I40" s="716">
        <f t="shared" si="95"/>
        <v>879</v>
      </c>
      <c r="J40" s="714"/>
      <c r="K40" s="718">
        <v>931</v>
      </c>
      <c r="L40" s="720"/>
      <c r="M40" s="720"/>
      <c r="N40" s="720"/>
      <c r="O40" s="716">
        <f t="shared" si="96"/>
        <v>931</v>
      </c>
      <c r="P40" s="716">
        <f t="shared" si="97"/>
        <v>931</v>
      </c>
      <c r="Q40" s="714"/>
      <c r="R40" s="718">
        <v>782</v>
      </c>
      <c r="S40" s="720"/>
      <c r="T40" s="720"/>
      <c r="U40" s="720"/>
      <c r="V40" s="716">
        <f t="shared" si="98"/>
        <v>782</v>
      </c>
      <c r="W40" s="716">
        <f t="shared" si="99"/>
        <v>782</v>
      </c>
      <c r="X40" s="714"/>
      <c r="Y40" s="718">
        <v>942</v>
      </c>
      <c r="Z40" s="720"/>
      <c r="AA40" s="720"/>
      <c r="AB40" s="720"/>
      <c r="AC40" s="716">
        <f t="shared" si="100"/>
        <v>942</v>
      </c>
      <c r="AD40" s="716">
        <f t="shared" si="101"/>
        <v>942</v>
      </c>
      <c r="AE40" s="714"/>
      <c r="AF40" s="718">
        <v>826</v>
      </c>
      <c r="AG40" s="720"/>
      <c r="AH40" s="720"/>
      <c r="AI40" s="720"/>
      <c r="AJ40" s="716">
        <f t="shared" si="102"/>
        <v>826</v>
      </c>
      <c r="AK40" s="716">
        <f t="shared" si="103"/>
        <v>826</v>
      </c>
      <c r="AL40" s="714"/>
      <c r="AM40" s="718">
        <v>675</v>
      </c>
      <c r="AN40" s="720"/>
      <c r="AO40" s="720"/>
      <c r="AP40" s="720"/>
      <c r="AQ40" s="716">
        <f t="shared" si="104"/>
        <v>675</v>
      </c>
      <c r="AR40" s="716">
        <f t="shared" si="105"/>
        <v>675</v>
      </c>
      <c r="AS40" s="714"/>
      <c r="AT40" s="718">
        <v>886</v>
      </c>
      <c r="AU40" s="720"/>
      <c r="AV40" s="720"/>
      <c r="AW40" s="720"/>
      <c r="AX40" s="716">
        <f t="shared" si="106"/>
        <v>886</v>
      </c>
      <c r="AY40" s="716">
        <f t="shared" si="107"/>
        <v>886</v>
      </c>
      <c r="AZ40" s="714"/>
      <c r="BA40" s="718">
        <v>997</v>
      </c>
      <c r="BB40" s="720"/>
      <c r="BC40" s="720"/>
      <c r="BD40" s="720"/>
      <c r="BE40" s="716">
        <f t="shared" si="108"/>
        <v>997</v>
      </c>
      <c r="BF40" s="716">
        <f t="shared" si="109"/>
        <v>997</v>
      </c>
      <c r="BG40" s="714"/>
      <c r="BH40" s="718">
        <v>983</v>
      </c>
      <c r="BI40" s="720"/>
      <c r="BJ40" s="720"/>
      <c r="BK40" s="720"/>
      <c r="BL40" s="716">
        <f t="shared" si="110"/>
        <v>983</v>
      </c>
      <c r="BM40" s="716">
        <f t="shared" si="111"/>
        <v>983</v>
      </c>
      <c r="BN40" s="714"/>
      <c r="BO40" s="718">
        <v>1083</v>
      </c>
      <c r="BP40" s="720"/>
      <c r="BQ40" s="720"/>
      <c r="BR40" s="720"/>
      <c r="BS40" s="716">
        <f t="shared" si="112"/>
        <v>1083</v>
      </c>
      <c r="BT40" s="716">
        <f t="shared" si="113"/>
        <v>1083</v>
      </c>
      <c r="BU40" s="714"/>
      <c r="BV40" s="718">
        <v>1218</v>
      </c>
      <c r="BW40" s="720"/>
      <c r="BX40" s="720"/>
      <c r="BY40" s="720"/>
      <c r="BZ40" s="716">
        <f t="shared" si="114"/>
        <v>1218</v>
      </c>
      <c r="CA40" s="716">
        <f t="shared" si="115"/>
        <v>1218</v>
      </c>
      <c r="CB40" s="714"/>
      <c r="CC40" s="718">
        <v>1053</v>
      </c>
      <c r="CD40" s="720"/>
      <c r="CE40" s="720"/>
      <c r="CF40" s="720"/>
      <c r="CG40" s="716">
        <f t="shared" si="116"/>
        <v>1053</v>
      </c>
      <c r="CH40" s="716">
        <f t="shared" si="117"/>
        <v>1053</v>
      </c>
      <c r="CI40" s="714"/>
      <c r="CJ40" s="718">
        <f t="shared" si="118"/>
        <v>11255</v>
      </c>
      <c r="CK40" s="720">
        <f t="shared" si="119"/>
        <v>0</v>
      </c>
      <c r="CL40" s="720">
        <f t="shared" si="120"/>
        <v>0</v>
      </c>
      <c r="CM40" s="720">
        <f t="shared" si="121"/>
        <v>0</v>
      </c>
      <c r="CN40" s="716">
        <f t="shared" si="122"/>
        <v>11255</v>
      </c>
      <c r="CO40" s="716">
        <f t="shared" si="123"/>
        <v>11255</v>
      </c>
      <c r="CQ40" s="717">
        <f>IFERROR(CN40/#REF!,0)</f>
        <v>0</v>
      </c>
      <c r="CR40" s="717">
        <f>IFERROR(CO40/#REF!,0)</f>
        <v>0</v>
      </c>
    </row>
    <row r="41" spans="1:96">
      <c r="A41" s="702" t="s">
        <v>120</v>
      </c>
      <c r="B41" s="702" t="s">
        <v>136</v>
      </c>
      <c r="C41" s="714"/>
      <c r="D41" s="718">
        <v>482</v>
      </c>
      <c r="E41" s="720"/>
      <c r="F41" s="720"/>
      <c r="G41" s="720"/>
      <c r="H41" s="716">
        <f t="shared" si="94"/>
        <v>482</v>
      </c>
      <c r="I41" s="716">
        <f t="shared" si="95"/>
        <v>482</v>
      </c>
      <c r="J41" s="714"/>
      <c r="K41" s="718">
        <v>538</v>
      </c>
      <c r="L41" s="720"/>
      <c r="M41" s="720"/>
      <c r="N41" s="720"/>
      <c r="O41" s="716">
        <f t="shared" si="96"/>
        <v>538</v>
      </c>
      <c r="P41" s="716">
        <f t="shared" si="97"/>
        <v>538</v>
      </c>
      <c r="Q41" s="714"/>
      <c r="R41" s="718">
        <v>402</v>
      </c>
      <c r="S41" s="720"/>
      <c r="T41" s="720"/>
      <c r="U41" s="720"/>
      <c r="V41" s="716">
        <f t="shared" si="98"/>
        <v>402</v>
      </c>
      <c r="W41" s="716">
        <f t="shared" si="99"/>
        <v>402</v>
      </c>
      <c r="X41" s="714"/>
      <c r="Y41" s="718">
        <v>641</v>
      </c>
      <c r="Z41" s="720"/>
      <c r="AA41" s="720"/>
      <c r="AB41" s="720"/>
      <c r="AC41" s="716">
        <f t="shared" si="100"/>
        <v>641</v>
      </c>
      <c r="AD41" s="716">
        <f t="shared" si="101"/>
        <v>641</v>
      </c>
      <c r="AE41" s="714"/>
      <c r="AF41" s="718">
        <v>588</v>
      </c>
      <c r="AG41" s="720"/>
      <c r="AH41" s="720"/>
      <c r="AI41" s="720"/>
      <c r="AJ41" s="716">
        <f t="shared" si="102"/>
        <v>588</v>
      </c>
      <c r="AK41" s="716">
        <f t="shared" si="103"/>
        <v>588</v>
      </c>
      <c r="AL41" s="714"/>
      <c r="AM41" s="718">
        <v>555</v>
      </c>
      <c r="AN41" s="720"/>
      <c r="AO41" s="720"/>
      <c r="AP41" s="720"/>
      <c r="AQ41" s="716">
        <f t="shared" si="104"/>
        <v>555</v>
      </c>
      <c r="AR41" s="716">
        <f t="shared" si="105"/>
        <v>555</v>
      </c>
      <c r="AS41" s="714"/>
      <c r="AT41" s="718">
        <v>404</v>
      </c>
      <c r="AU41" s="720"/>
      <c r="AV41" s="720"/>
      <c r="AW41" s="720"/>
      <c r="AX41" s="716">
        <f t="shared" si="106"/>
        <v>404</v>
      </c>
      <c r="AY41" s="716">
        <f t="shared" si="107"/>
        <v>404</v>
      </c>
      <c r="AZ41" s="714"/>
      <c r="BA41" s="718">
        <v>490</v>
      </c>
      <c r="BB41" s="720"/>
      <c r="BC41" s="720"/>
      <c r="BD41" s="720"/>
      <c r="BE41" s="716">
        <f t="shared" si="108"/>
        <v>490</v>
      </c>
      <c r="BF41" s="716">
        <f t="shared" si="109"/>
        <v>490</v>
      </c>
      <c r="BG41" s="714"/>
      <c r="BH41" s="718">
        <v>520</v>
      </c>
      <c r="BI41" s="720"/>
      <c r="BJ41" s="720"/>
      <c r="BK41" s="720"/>
      <c r="BL41" s="716">
        <f t="shared" si="110"/>
        <v>520</v>
      </c>
      <c r="BM41" s="716">
        <f t="shared" si="111"/>
        <v>520</v>
      </c>
      <c r="BN41" s="714"/>
      <c r="BO41" s="718">
        <v>590</v>
      </c>
      <c r="BP41" s="720"/>
      <c r="BQ41" s="720"/>
      <c r="BR41" s="720"/>
      <c r="BS41" s="716">
        <f t="shared" si="112"/>
        <v>590</v>
      </c>
      <c r="BT41" s="716">
        <f t="shared" si="113"/>
        <v>590</v>
      </c>
      <c r="BU41" s="714"/>
      <c r="BV41" s="718">
        <v>615</v>
      </c>
      <c r="BW41" s="720"/>
      <c r="BX41" s="720"/>
      <c r="BY41" s="720"/>
      <c r="BZ41" s="716">
        <f t="shared" si="114"/>
        <v>615</v>
      </c>
      <c r="CA41" s="716">
        <f t="shared" si="115"/>
        <v>615</v>
      </c>
      <c r="CB41" s="714"/>
      <c r="CC41" s="718">
        <v>487</v>
      </c>
      <c r="CD41" s="720"/>
      <c r="CE41" s="720"/>
      <c r="CF41" s="720"/>
      <c r="CG41" s="716">
        <f t="shared" si="116"/>
        <v>487</v>
      </c>
      <c r="CH41" s="716">
        <f t="shared" si="117"/>
        <v>487</v>
      </c>
      <c r="CI41" s="714"/>
      <c r="CJ41" s="718">
        <f t="shared" si="118"/>
        <v>6312</v>
      </c>
      <c r="CK41" s="720">
        <f t="shared" si="119"/>
        <v>0</v>
      </c>
      <c r="CL41" s="720">
        <f t="shared" si="120"/>
        <v>0</v>
      </c>
      <c r="CM41" s="720">
        <f t="shared" si="121"/>
        <v>0</v>
      </c>
      <c r="CN41" s="716">
        <f t="shared" si="122"/>
        <v>6312</v>
      </c>
      <c r="CO41" s="716">
        <f t="shared" si="123"/>
        <v>6312</v>
      </c>
      <c r="CQ41" s="717">
        <f>IFERROR(CN41/#REF!,0)</f>
        <v>0</v>
      </c>
      <c r="CR41" s="717">
        <f>IFERROR(CO41/#REF!,0)</f>
        <v>0</v>
      </c>
    </row>
    <row r="42" spans="1:96">
      <c r="A42" s="703" t="s">
        <v>490</v>
      </c>
      <c r="B42" s="701" t="s">
        <v>124</v>
      </c>
      <c r="C42" s="714"/>
      <c r="D42" s="718">
        <v>271</v>
      </c>
      <c r="E42" s="718"/>
      <c r="F42" s="718"/>
      <c r="G42" s="718">
        <v>3</v>
      </c>
      <c r="H42" s="715">
        <f t="shared" si="94"/>
        <v>271</v>
      </c>
      <c r="I42" s="715">
        <f t="shared" si="95"/>
        <v>274</v>
      </c>
      <c r="J42" s="714"/>
      <c r="K42" s="718">
        <v>272</v>
      </c>
      <c r="L42" s="718"/>
      <c r="M42" s="718"/>
      <c r="N42" s="718">
        <v>8</v>
      </c>
      <c r="O42" s="715">
        <f t="shared" si="96"/>
        <v>272</v>
      </c>
      <c r="P42" s="715">
        <f t="shared" si="97"/>
        <v>280</v>
      </c>
      <c r="Q42" s="714"/>
      <c r="R42" s="718">
        <v>277</v>
      </c>
      <c r="S42" s="718"/>
      <c r="T42" s="718"/>
      <c r="U42" s="718">
        <v>8</v>
      </c>
      <c r="V42" s="715">
        <f t="shared" si="98"/>
        <v>277</v>
      </c>
      <c r="W42" s="715">
        <f t="shared" si="99"/>
        <v>285</v>
      </c>
      <c r="X42" s="714"/>
      <c r="Y42" s="718">
        <v>281</v>
      </c>
      <c r="Z42" s="718">
        <v>4</v>
      </c>
      <c r="AA42" s="718"/>
      <c r="AB42" s="718">
        <v>5</v>
      </c>
      <c r="AC42" s="715">
        <f t="shared" si="100"/>
        <v>285</v>
      </c>
      <c r="AD42" s="715">
        <f t="shared" si="101"/>
        <v>286</v>
      </c>
      <c r="AE42" s="714"/>
      <c r="AF42" s="718">
        <v>239</v>
      </c>
      <c r="AG42" s="718">
        <v>6</v>
      </c>
      <c r="AH42" s="718"/>
      <c r="AI42" s="718">
        <v>5</v>
      </c>
      <c r="AJ42" s="715">
        <f t="shared" si="102"/>
        <v>245</v>
      </c>
      <c r="AK42" s="715">
        <f t="shared" si="103"/>
        <v>244</v>
      </c>
      <c r="AL42" s="714"/>
      <c r="AM42" s="718">
        <v>195</v>
      </c>
      <c r="AN42" s="718"/>
      <c r="AO42" s="718"/>
      <c r="AP42" s="718">
        <v>4</v>
      </c>
      <c r="AQ42" s="715">
        <f t="shared" si="104"/>
        <v>195</v>
      </c>
      <c r="AR42" s="715">
        <f t="shared" si="105"/>
        <v>199</v>
      </c>
      <c r="AS42" s="714"/>
      <c r="AT42" s="718">
        <v>288</v>
      </c>
      <c r="AU42" s="718">
        <v>6</v>
      </c>
      <c r="AV42" s="718"/>
      <c r="AW42" s="718">
        <v>7</v>
      </c>
      <c r="AX42" s="715">
        <f t="shared" si="106"/>
        <v>294</v>
      </c>
      <c r="AY42" s="715">
        <f t="shared" si="107"/>
        <v>295</v>
      </c>
      <c r="AZ42" s="714"/>
      <c r="BA42" s="718">
        <v>276</v>
      </c>
      <c r="BB42" s="718">
        <v>40</v>
      </c>
      <c r="BC42" s="718"/>
      <c r="BD42" s="718">
        <v>8</v>
      </c>
      <c r="BE42" s="715">
        <f t="shared" si="108"/>
        <v>316</v>
      </c>
      <c r="BF42" s="715">
        <f t="shared" si="109"/>
        <v>284</v>
      </c>
      <c r="BG42" s="714"/>
      <c r="BH42" s="718">
        <v>231</v>
      </c>
      <c r="BI42" s="718">
        <v>41</v>
      </c>
      <c r="BJ42" s="718"/>
      <c r="BK42" s="718">
        <v>9</v>
      </c>
      <c r="BL42" s="715">
        <f t="shared" si="110"/>
        <v>272</v>
      </c>
      <c r="BM42" s="715">
        <f t="shared" si="111"/>
        <v>240</v>
      </c>
      <c r="BN42" s="714"/>
      <c r="BO42" s="718">
        <v>240</v>
      </c>
      <c r="BP42" s="718"/>
      <c r="BQ42" s="718"/>
      <c r="BR42" s="718">
        <v>3</v>
      </c>
      <c r="BS42" s="715">
        <f t="shared" si="112"/>
        <v>240</v>
      </c>
      <c r="BT42" s="715">
        <f t="shared" si="113"/>
        <v>243</v>
      </c>
      <c r="BU42" s="714"/>
      <c r="BV42" s="718">
        <v>220</v>
      </c>
      <c r="BW42" s="718"/>
      <c r="BX42" s="718">
        <v>1</v>
      </c>
      <c r="BY42" s="718">
        <v>2</v>
      </c>
      <c r="BZ42" s="715">
        <f t="shared" si="114"/>
        <v>221</v>
      </c>
      <c r="CA42" s="715">
        <f t="shared" si="115"/>
        <v>222</v>
      </c>
      <c r="CB42" s="714"/>
      <c r="CC42" s="718">
        <v>234</v>
      </c>
      <c r="CD42" s="718"/>
      <c r="CE42" s="718"/>
      <c r="CF42" s="718">
        <v>2</v>
      </c>
      <c r="CG42" s="715">
        <f t="shared" si="116"/>
        <v>234</v>
      </c>
      <c r="CH42" s="715">
        <f t="shared" si="117"/>
        <v>236</v>
      </c>
      <c r="CI42" s="714"/>
      <c r="CJ42" s="718">
        <f t="shared" si="118"/>
        <v>3024</v>
      </c>
      <c r="CK42" s="718">
        <f t="shared" si="119"/>
        <v>97</v>
      </c>
      <c r="CL42" s="718">
        <f t="shared" si="120"/>
        <v>1</v>
      </c>
      <c r="CM42" s="718">
        <f t="shared" si="121"/>
        <v>64</v>
      </c>
      <c r="CN42" s="715">
        <f t="shared" si="122"/>
        <v>3122</v>
      </c>
      <c r="CO42" s="715">
        <f t="shared" si="123"/>
        <v>3088</v>
      </c>
      <c r="CQ42" s="721">
        <f>IFERROR(CN42/#REF!,0)</f>
        <v>0</v>
      </c>
      <c r="CR42" s="721">
        <f>IFERROR(CO42/#REF!,0)</f>
        <v>0</v>
      </c>
    </row>
    <row r="43" spans="1:96">
      <c r="A43" s="703" t="s">
        <v>490</v>
      </c>
      <c r="B43" s="701" t="s">
        <v>125</v>
      </c>
      <c r="C43" s="714"/>
      <c r="D43" s="718">
        <v>81</v>
      </c>
      <c r="E43" s="718"/>
      <c r="F43" s="718"/>
      <c r="G43" s="718">
        <v>1</v>
      </c>
      <c r="H43" s="715">
        <f t="shared" si="94"/>
        <v>81</v>
      </c>
      <c r="I43" s="715">
        <f t="shared" si="95"/>
        <v>82</v>
      </c>
      <c r="J43" s="714"/>
      <c r="K43" s="718">
        <v>102</v>
      </c>
      <c r="L43" s="718"/>
      <c r="M43" s="718"/>
      <c r="N43" s="718"/>
      <c r="O43" s="715">
        <f t="shared" si="96"/>
        <v>102</v>
      </c>
      <c r="P43" s="715">
        <f t="shared" si="97"/>
        <v>102</v>
      </c>
      <c r="Q43" s="714"/>
      <c r="R43" s="718">
        <v>81</v>
      </c>
      <c r="S43" s="718"/>
      <c r="T43" s="718"/>
      <c r="U43" s="718"/>
      <c r="V43" s="715">
        <f t="shared" si="98"/>
        <v>81</v>
      </c>
      <c r="W43" s="715">
        <f t="shared" si="99"/>
        <v>81</v>
      </c>
      <c r="X43" s="714"/>
      <c r="Y43" s="718">
        <v>102</v>
      </c>
      <c r="Z43" s="718"/>
      <c r="AA43" s="718"/>
      <c r="AB43" s="718"/>
      <c r="AC43" s="715">
        <f t="shared" si="100"/>
        <v>102</v>
      </c>
      <c r="AD43" s="715">
        <f t="shared" si="101"/>
        <v>102</v>
      </c>
      <c r="AE43" s="714"/>
      <c r="AF43" s="718">
        <v>68</v>
      </c>
      <c r="AG43" s="718"/>
      <c r="AH43" s="718"/>
      <c r="AI43" s="718">
        <v>1</v>
      </c>
      <c r="AJ43" s="715">
        <f t="shared" si="102"/>
        <v>68</v>
      </c>
      <c r="AK43" s="715">
        <f t="shared" si="103"/>
        <v>69</v>
      </c>
      <c r="AL43" s="714"/>
      <c r="AM43" s="718">
        <v>62</v>
      </c>
      <c r="AN43" s="718"/>
      <c r="AO43" s="718"/>
      <c r="AP43" s="718"/>
      <c r="AQ43" s="715">
        <f t="shared" si="104"/>
        <v>62</v>
      </c>
      <c r="AR43" s="715">
        <f t="shared" si="105"/>
        <v>62</v>
      </c>
      <c r="AS43" s="714"/>
      <c r="AT43" s="718">
        <v>64</v>
      </c>
      <c r="AU43" s="718"/>
      <c r="AV43" s="718"/>
      <c r="AW43" s="718"/>
      <c r="AX43" s="715">
        <f t="shared" si="106"/>
        <v>64</v>
      </c>
      <c r="AY43" s="715">
        <f t="shared" si="107"/>
        <v>64</v>
      </c>
      <c r="AZ43" s="714"/>
      <c r="BA43" s="718">
        <v>65</v>
      </c>
      <c r="BB43" s="718"/>
      <c r="BC43" s="718"/>
      <c r="BD43" s="718"/>
      <c r="BE43" s="715">
        <f t="shared" si="108"/>
        <v>65</v>
      </c>
      <c r="BF43" s="715">
        <f t="shared" si="109"/>
        <v>65</v>
      </c>
      <c r="BG43" s="714"/>
      <c r="BH43" s="718">
        <v>74</v>
      </c>
      <c r="BI43" s="718"/>
      <c r="BJ43" s="718"/>
      <c r="BK43" s="718"/>
      <c r="BL43" s="715">
        <f t="shared" si="110"/>
        <v>74</v>
      </c>
      <c r="BM43" s="715">
        <f t="shared" si="111"/>
        <v>74</v>
      </c>
      <c r="BN43" s="714"/>
      <c r="BO43" s="718">
        <v>74</v>
      </c>
      <c r="BP43" s="718"/>
      <c r="BQ43" s="718"/>
      <c r="BR43" s="718"/>
      <c r="BS43" s="715">
        <f t="shared" si="112"/>
        <v>74</v>
      </c>
      <c r="BT43" s="715">
        <f t="shared" si="113"/>
        <v>74</v>
      </c>
      <c r="BU43" s="714"/>
      <c r="BV43" s="718">
        <v>74</v>
      </c>
      <c r="BW43" s="718"/>
      <c r="BX43" s="718"/>
      <c r="BY43" s="718"/>
      <c r="BZ43" s="715">
        <f t="shared" si="114"/>
        <v>74</v>
      </c>
      <c r="CA43" s="715">
        <f t="shared" si="115"/>
        <v>74</v>
      </c>
      <c r="CB43" s="714"/>
      <c r="CC43" s="718">
        <v>61</v>
      </c>
      <c r="CD43" s="718"/>
      <c r="CE43" s="718"/>
      <c r="CF43" s="718"/>
      <c r="CG43" s="715">
        <f t="shared" si="116"/>
        <v>61</v>
      </c>
      <c r="CH43" s="715">
        <f t="shared" si="117"/>
        <v>61</v>
      </c>
      <c r="CI43" s="714"/>
      <c r="CJ43" s="718">
        <f t="shared" si="118"/>
        <v>908</v>
      </c>
      <c r="CK43" s="718">
        <f t="shared" si="119"/>
        <v>0</v>
      </c>
      <c r="CL43" s="718">
        <f t="shared" si="120"/>
        <v>0</v>
      </c>
      <c r="CM43" s="718">
        <f t="shared" si="121"/>
        <v>2</v>
      </c>
      <c r="CN43" s="715">
        <f t="shared" si="122"/>
        <v>908</v>
      </c>
      <c r="CO43" s="715">
        <f t="shared" si="123"/>
        <v>910</v>
      </c>
      <c r="CQ43" s="721">
        <f>IFERROR(CN43/#REF!,0)</f>
        <v>0</v>
      </c>
      <c r="CR43" s="721">
        <f>IFERROR(CO43/#REF!,0)</f>
        <v>0</v>
      </c>
    </row>
    <row r="44" spans="1:96">
      <c r="A44" s="703" t="s">
        <v>490</v>
      </c>
      <c r="B44" s="701" t="s">
        <v>126</v>
      </c>
      <c r="C44" s="714"/>
      <c r="D44" s="718">
        <v>264</v>
      </c>
      <c r="E44" s="718"/>
      <c r="F44" s="718"/>
      <c r="G44" s="718">
        <v>10</v>
      </c>
      <c r="H44" s="715">
        <f t="shared" si="94"/>
        <v>264</v>
      </c>
      <c r="I44" s="715">
        <f t="shared" si="95"/>
        <v>274</v>
      </c>
      <c r="J44" s="714"/>
      <c r="K44" s="718">
        <v>339</v>
      </c>
      <c r="L44" s="718"/>
      <c r="M44" s="718"/>
      <c r="N44" s="718">
        <v>8</v>
      </c>
      <c r="O44" s="715">
        <f t="shared" si="96"/>
        <v>339</v>
      </c>
      <c r="P44" s="715">
        <f t="shared" si="97"/>
        <v>347</v>
      </c>
      <c r="Q44" s="714"/>
      <c r="R44" s="718">
        <v>270</v>
      </c>
      <c r="S44" s="718"/>
      <c r="T44" s="718"/>
      <c r="U44" s="718">
        <v>8</v>
      </c>
      <c r="V44" s="715">
        <f t="shared" si="98"/>
        <v>270</v>
      </c>
      <c r="W44" s="715">
        <f t="shared" si="99"/>
        <v>278</v>
      </c>
      <c r="X44" s="714"/>
      <c r="Y44" s="718">
        <v>294</v>
      </c>
      <c r="Z44" s="718"/>
      <c r="AA44" s="718"/>
      <c r="AB44" s="718">
        <v>8</v>
      </c>
      <c r="AC44" s="715">
        <f t="shared" si="100"/>
        <v>294</v>
      </c>
      <c r="AD44" s="715">
        <f t="shared" si="101"/>
        <v>302</v>
      </c>
      <c r="AE44" s="714"/>
      <c r="AF44" s="718">
        <v>254</v>
      </c>
      <c r="AG44" s="718"/>
      <c r="AH44" s="718"/>
      <c r="AI44" s="718">
        <v>8</v>
      </c>
      <c r="AJ44" s="715">
        <f t="shared" si="102"/>
        <v>254</v>
      </c>
      <c r="AK44" s="715">
        <f t="shared" si="103"/>
        <v>262</v>
      </c>
      <c r="AL44" s="714"/>
      <c r="AM44" s="718">
        <v>174</v>
      </c>
      <c r="AN44" s="718"/>
      <c r="AO44" s="718"/>
      <c r="AP44" s="718">
        <v>3</v>
      </c>
      <c r="AQ44" s="715">
        <f t="shared" si="104"/>
        <v>174</v>
      </c>
      <c r="AR44" s="715">
        <f t="shared" si="105"/>
        <v>177</v>
      </c>
      <c r="AS44" s="714"/>
      <c r="AT44" s="718">
        <v>242</v>
      </c>
      <c r="AU44" s="718"/>
      <c r="AV44" s="718"/>
      <c r="AW44" s="718">
        <v>4</v>
      </c>
      <c r="AX44" s="715">
        <f t="shared" si="106"/>
        <v>242</v>
      </c>
      <c r="AY44" s="715">
        <f t="shared" si="107"/>
        <v>246</v>
      </c>
      <c r="AZ44" s="714"/>
      <c r="BA44" s="718">
        <v>232</v>
      </c>
      <c r="BB44" s="718"/>
      <c r="BC44" s="718"/>
      <c r="BD44" s="718">
        <v>6</v>
      </c>
      <c r="BE44" s="715">
        <f t="shared" si="108"/>
        <v>232</v>
      </c>
      <c r="BF44" s="715">
        <f t="shared" si="109"/>
        <v>238</v>
      </c>
      <c r="BG44" s="714"/>
      <c r="BH44" s="718">
        <v>247</v>
      </c>
      <c r="BI44" s="718"/>
      <c r="BJ44" s="718"/>
      <c r="BK44" s="718">
        <v>7</v>
      </c>
      <c r="BL44" s="715">
        <f t="shared" si="110"/>
        <v>247</v>
      </c>
      <c r="BM44" s="715">
        <f t="shared" si="111"/>
        <v>254</v>
      </c>
      <c r="BN44" s="714"/>
      <c r="BO44" s="718">
        <v>220</v>
      </c>
      <c r="BP44" s="718"/>
      <c r="BQ44" s="718"/>
      <c r="BR44" s="718">
        <v>8</v>
      </c>
      <c r="BS44" s="715">
        <f t="shared" si="112"/>
        <v>220</v>
      </c>
      <c r="BT44" s="715">
        <f t="shared" si="113"/>
        <v>228</v>
      </c>
      <c r="BU44" s="714"/>
      <c r="BV44" s="718">
        <v>232</v>
      </c>
      <c r="BW44" s="718"/>
      <c r="BX44" s="718"/>
      <c r="BY44" s="718">
        <v>7</v>
      </c>
      <c r="BZ44" s="715">
        <f t="shared" si="114"/>
        <v>232</v>
      </c>
      <c r="CA44" s="715">
        <f t="shared" si="115"/>
        <v>239</v>
      </c>
      <c r="CB44" s="714"/>
      <c r="CC44" s="718">
        <v>200</v>
      </c>
      <c r="CD44" s="718"/>
      <c r="CE44" s="718"/>
      <c r="CF44" s="718">
        <v>9</v>
      </c>
      <c r="CG44" s="715">
        <f t="shared" si="116"/>
        <v>200</v>
      </c>
      <c r="CH44" s="715">
        <f t="shared" si="117"/>
        <v>209</v>
      </c>
      <c r="CI44" s="714"/>
      <c r="CJ44" s="718">
        <f t="shared" si="118"/>
        <v>2968</v>
      </c>
      <c r="CK44" s="718">
        <f t="shared" si="119"/>
        <v>0</v>
      </c>
      <c r="CL44" s="718">
        <f t="shared" si="120"/>
        <v>0</v>
      </c>
      <c r="CM44" s="718">
        <f t="shared" si="121"/>
        <v>86</v>
      </c>
      <c r="CN44" s="715">
        <f t="shared" si="122"/>
        <v>2968</v>
      </c>
      <c r="CO44" s="715">
        <f t="shared" si="123"/>
        <v>3054</v>
      </c>
      <c r="CQ44" s="721">
        <f>IFERROR(CN44/#REF!,0)</f>
        <v>0</v>
      </c>
      <c r="CR44" s="721">
        <f>IFERROR(CO44/#REF!,0)</f>
        <v>0</v>
      </c>
    </row>
    <row r="45" spans="1:96">
      <c r="A45" s="703" t="s">
        <v>491</v>
      </c>
      <c r="B45" s="703" t="s">
        <v>124</v>
      </c>
      <c r="C45" s="714"/>
      <c r="D45" s="718"/>
      <c r="E45" s="718"/>
      <c r="F45" s="718"/>
      <c r="G45" s="718"/>
      <c r="H45" s="715">
        <f t="shared" si="94"/>
        <v>0</v>
      </c>
      <c r="I45" s="715">
        <f t="shared" si="95"/>
        <v>0</v>
      </c>
      <c r="J45" s="714"/>
      <c r="K45" s="718"/>
      <c r="L45" s="718"/>
      <c r="M45" s="718"/>
      <c r="N45" s="718"/>
      <c r="O45" s="715">
        <f t="shared" si="96"/>
        <v>0</v>
      </c>
      <c r="P45" s="715">
        <f t="shared" si="97"/>
        <v>0</v>
      </c>
      <c r="Q45" s="714"/>
      <c r="R45" s="718"/>
      <c r="S45" s="718"/>
      <c r="T45" s="718"/>
      <c r="U45" s="718"/>
      <c r="V45" s="715">
        <f t="shared" si="98"/>
        <v>0</v>
      </c>
      <c r="W45" s="715">
        <f t="shared" si="99"/>
        <v>0</v>
      </c>
      <c r="X45" s="714"/>
      <c r="Y45" s="718"/>
      <c r="Z45" s="718"/>
      <c r="AA45" s="718"/>
      <c r="AB45" s="718"/>
      <c r="AC45" s="715">
        <f t="shared" si="100"/>
        <v>0</v>
      </c>
      <c r="AD45" s="715">
        <f t="shared" si="101"/>
        <v>0</v>
      </c>
      <c r="AE45" s="714"/>
      <c r="AF45" s="718"/>
      <c r="AG45" s="718"/>
      <c r="AH45" s="718"/>
      <c r="AI45" s="718"/>
      <c r="AJ45" s="715">
        <f t="shared" si="102"/>
        <v>0</v>
      </c>
      <c r="AK45" s="715">
        <f t="shared" si="103"/>
        <v>0</v>
      </c>
      <c r="AL45" s="714"/>
      <c r="AM45" s="718"/>
      <c r="AN45" s="718"/>
      <c r="AO45" s="718"/>
      <c r="AP45" s="718"/>
      <c r="AQ45" s="715">
        <f t="shared" si="104"/>
        <v>0</v>
      </c>
      <c r="AR45" s="715">
        <f t="shared" si="105"/>
        <v>0</v>
      </c>
      <c r="AS45" s="714"/>
      <c r="AT45" s="718">
        <v>10</v>
      </c>
      <c r="AU45" s="718"/>
      <c r="AV45" s="718"/>
      <c r="AW45" s="718"/>
      <c r="AX45" s="715">
        <f t="shared" si="106"/>
        <v>10</v>
      </c>
      <c r="AY45" s="715">
        <f t="shared" si="107"/>
        <v>10</v>
      </c>
      <c r="AZ45" s="714"/>
      <c r="BA45" s="718">
        <v>15</v>
      </c>
      <c r="BB45" s="718"/>
      <c r="BC45" s="718"/>
      <c r="BD45" s="718"/>
      <c r="BE45" s="715">
        <f t="shared" si="108"/>
        <v>15</v>
      </c>
      <c r="BF45" s="715">
        <f t="shared" si="109"/>
        <v>15</v>
      </c>
      <c r="BG45" s="714"/>
      <c r="BH45" s="718">
        <v>16</v>
      </c>
      <c r="BI45" s="718"/>
      <c r="BJ45" s="718"/>
      <c r="BK45" s="718"/>
      <c r="BL45" s="715">
        <f t="shared" si="110"/>
        <v>16</v>
      </c>
      <c r="BM45" s="715">
        <f t="shared" si="111"/>
        <v>16</v>
      </c>
      <c r="BN45" s="714"/>
      <c r="BO45" s="718">
        <v>16</v>
      </c>
      <c r="BP45" s="718"/>
      <c r="BQ45" s="718"/>
      <c r="BR45" s="718"/>
      <c r="BS45" s="715">
        <f t="shared" si="112"/>
        <v>16</v>
      </c>
      <c r="BT45" s="715">
        <f t="shared" si="113"/>
        <v>16</v>
      </c>
      <c r="BU45" s="714"/>
      <c r="BV45" s="718">
        <v>18</v>
      </c>
      <c r="BW45" s="718"/>
      <c r="BX45" s="718"/>
      <c r="BY45" s="718"/>
      <c r="BZ45" s="715">
        <f t="shared" si="114"/>
        <v>18</v>
      </c>
      <c r="CA45" s="715">
        <f t="shared" si="115"/>
        <v>18</v>
      </c>
      <c r="CB45" s="714"/>
      <c r="CC45" s="718">
        <v>14</v>
      </c>
      <c r="CD45" s="718"/>
      <c r="CE45" s="718"/>
      <c r="CF45" s="718">
        <v>1</v>
      </c>
      <c r="CG45" s="715">
        <f t="shared" si="116"/>
        <v>14</v>
      </c>
      <c r="CH45" s="715">
        <f t="shared" si="117"/>
        <v>15</v>
      </c>
      <c r="CI45" s="714"/>
      <c r="CJ45" s="718">
        <f t="shared" si="118"/>
        <v>89</v>
      </c>
      <c r="CK45" s="718">
        <f t="shared" si="119"/>
        <v>0</v>
      </c>
      <c r="CL45" s="718">
        <f t="shared" si="120"/>
        <v>0</v>
      </c>
      <c r="CM45" s="718">
        <f t="shared" si="121"/>
        <v>1</v>
      </c>
      <c r="CN45" s="715">
        <f t="shared" si="122"/>
        <v>89</v>
      </c>
      <c r="CO45" s="715">
        <f t="shared" si="123"/>
        <v>90</v>
      </c>
      <c r="CQ45" s="721">
        <f>IFERROR(CN45/#REF!,0)</f>
        <v>0</v>
      </c>
      <c r="CR45" s="721">
        <f>IFERROR(CO45/#REF!,0)</f>
        <v>0</v>
      </c>
    </row>
    <row r="46" spans="1:96">
      <c r="A46" s="701" t="s">
        <v>327</v>
      </c>
      <c r="B46" s="701" t="s">
        <v>14</v>
      </c>
      <c r="C46" s="714"/>
      <c r="D46" s="718">
        <f>833-2</f>
        <v>831</v>
      </c>
      <c r="E46" s="718">
        <v>177</v>
      </c>
      <c r="F46" s="718">
        <v>33</v>
      </c>
      <c r="G46" s="718"/>
      <c r="H46" s="715">
        <f t="shared" si="94"/>
        <v>1041</v>
      </c>
      <c r="I46" s="715">
        <f t="shared" si="95"/>
        <v>831</v>
      </c>
      <c r="J46" s="714"/>
      <c r="K46" s="718">
        <v>1135</v>
      </c>
      <c r="L46" s="718">
        <v>208</v>
      </c>
      <c r="M46" s="718">
        <v>12</v>
      </c>
      <c r="N46" s="718"/>
      <c r="O46" s="715">
        <f t="shared" si="96"/>
        <v>1355</v>
      </c>
      <c r="P46" s="715">
        <f t="shared" si="97"/>
        <v>1135</v>
      </c>
      <c r="Q46" s="714"/>
      <c r="R46" s="718">
        <v>701</v>
      </c>
      <c r="S46" s="718">
        <v>109</v>
      </c>
      <c r="T46" s="718"/>
      <c r="U46" s="718"/>
      <c r="V46" s="715">
        <f t="shared" si="98"/>
        <v>810</v>
      </c>
      <c r="W46" s="715">
        <f t="shared" si="99"/>
        <v>701</v>
      </c>
      <c r="X46" s="714"/>
      <c r="Y46" s="718">
        <v>889</v>
      </c>
      <c r="Z46" s="718">
        <v>132</v>
      </c>
      <c r="AA46" s="718">
        <v>3</v>
      </c>
      <c r="AB46" s="718"/>
      <c r="AC46" s="715">
        <f t="shared" si="100"/>
        <v>1024</v>
      </c>
      <c r="AD46" s="715">
        <f t="shared" si="101"/>
        <v>889</v>
      </c>
      <c r="AE46" s="714"/>
      <c r="AF46" s="718">
        <v>463</v>
      </c>
      <c r="AG46" s="718">
        <v>60</v>
      </c>
      <c r="AH46" s="718"/>
      <c r="AI46" s="718"/>
      <c r="AJ46" s="715">
        <f t="shared" si="102"/>
        <v>523</v>
      </c>
      <c r="AK46" s="715">
        <f t="shared" si="103"/>
        <v>463</v>
      </c>
      <c r="AL46" s="714"/>
      <c r="AM46" s="718">
        <v>404</v>
      </c>
      <c r="AN46" s="718">
        <v>52</v>
      </c>
      <c r="AO46" s="718"/>
      <c r="AP46" s="718"/>
      <c r="AQ46" s="715">
        <f t="shared" si="104"/>
        <v>456</v>
      </c>
      <c r="AR46" s="715">
        <f t="shared" si="105"/>
        <v>404</v>
      </c>
      <c r="AS46" s="714"/>
      <c r="AT46" s="718">
        <v>439</v>
      </c>
      <c r="AU46" s="718">
        <v>66</v>
      </c>
      <c r="AV46" s="718"/>
      <c r="AW46" s="718"/>
      <c r="AX46" s="715">
        <f t="shared" si="106"/>
        <v>505</v>
      </c>
      <c r="AY46" s="715">
        <f t="shared" si="107"/>
        <v>439</v>
      </c>
      <c r="AZ46" s="714"/>
      <c r="BA46" s="718">
        <v>405</v>
      </c>
      <c r="BB46" s="718">
        <v>61</v>
      </c>
      <c r="BC46" s="718"/>
      <c r="BD46" s="718"/>
      <c r="BE46" s="715">
        <f t="shared" si="108"/>
        <v>466</v>
      </c>
      <c r="BF46" s="715">
        <f t="shared" si="109"/>
        <v>405</v>
      </c>
      <c r="BG46" s="714"/>
      <c r="BH46" s="718">
        <v>430</v>
      </c>
      <c r="BI46" s="718">
        <v>56</v>
      </c>
      <c r="BJ46" s="718"/>
      <c r="BK46" s="718"/>
      <c r="BL46" s="715">
        <f t="shared" si="110"/>
        <v>486</v>
      </c>
      <c r="BM46" s="715">
        <f t="shared" si="111"/>
        <v>430</v>
      </c>
      <c r="BN46" s="714"/>
      <c r="BO46" s="718">
        <v>501</v>
      </c>
      <c r="BP46" s="718">
        <v>36</v>
      </c>
      <c r="BQ46" s="718">
        <v>4</v>
      </c>
      <c r="BR46" s="718"/>
      <c r="BS46" s="715">
        <f t="shared" si="112"/>
        <v>541</v>
      </c>
      <c r="BT46" s="715">
        <f t="shared" si="113"/>
        <v>501</v>
      </c>
      <c r="BU46" s="714"/>
      <c r="BV46" s="718">
        <v>569</v>
      </c>
      <c r="BW46" s="718">
        <v>60</v>
      </c>
      <c r="BX46" s="718">
        <v>3</v>
      </c>
      <c r="BY46" s="718"/>
      <c r="BZ46" s="715">
        <f t="shared" si="114"/>
        <v>632</v>
      </c>
      <c r="CA46" s="715">
        <f t="shared" si="115"/>
        <v>569</v>
      </c>
      <c r="CB46" s="714"/>
      <c r="CC46" s="718">
        <v>496</v>
      </c>
      <c r="CD46" s="718">
        <v>27</v>
      </c>
      <c r="CE46" s="718">
        <v>2</v>
      </c>
      <c r="CF46" s="718"/>
      <c r="CG46" s="715">
        <f t="shared" si="116"/>
        <v>525</v>
      </c>
      <c r="CH46" s="715">
        <f t="shared" si="117"/>
        <v>496</v>
      </c>
      <c r="CI46" s="714"/>
      <c r="CJ46" s="718">
        <f t="shared" si="118"/>
        <v>7263</v>
      </c>
      <c r="CK46" s="718">
        <f t="shared" si="119"/>
        <v>1044</v>
      </c>
      <c r="CL46" s="718">
        <f t="shared" si="120"/>
        <v>57</v>
      </c>
      <c r="CM46" s="718">
        <f t="shared" si="121"/>
        <v>0</v>
      </c>
      <c r="CN46" s="715">
        <f t="shared" si="122"/>
        <v>8364</v>
      </c>
      <c r="CO46" s="715">
        <f t="shared" si="123"/>
        <v>7263</v>
      </c>
      <c r="CQ46" s="721">
        <f>IFERROR(CN46/#REF!,0)</f>
        <v>0</v>
      </c>
      <c r="CR46" s="721">
        <f>IFERROR(CO46/#REF!,0)</f>
        <v>0</v>
      </c>
    </row>
    <row r="47" spans="1:96">
      <c r="A47" s="701" t="s">
        <v>122</v>
      </c>
      <c r="B47" s="701" t="s">
        <v>22</v>
      </c>
      <c r="C47" s="714"/>
      <c r="D47" s="718">
        <v>7</v>
      </c>
      <c r="E47" s="718"/>
      <c r="F47" s="718"/>
      <c r="G47" s="718">
        <v>3</v>
      </c>
      <c r="H47" s="715">
        <f t="shared" si="94"/>
        <v>7</v>
      </c>
      <c r="I47" s="715">
        <f t="shared" si="95"/>
        <v>10</v>
      </c>
      <c r="J47" s="714"/>
      <c r="K47" s="718">
        <v>8</v>
      </c>
      <c r="L47" s="718"/>
      <c r="M47" s="718"/>
      <c r="N47" s="718">
        <v>3</v>
      </c>
      <c r="O47" s="715">
        <f t="shared" si="96"/>
        <v>8</v>
      </c>
      <c r="P47" s="715">
        <f t="shared" si="97"/>
        <v>11</v>
      </c>
      <c r="Q47" s="714"/>
      <c r="R47" s="718">
        <v>4</v>
      </c>
      <c r="S47" s="718"/>
      <c r="T47" s="718"/>
      <c r="U47" s="718">
        <v>2</v>
      </c>
      <c r="V47" s="715">
        <f t="shared" si="98"/>
        <v>4</v>
      </c>
      <c r="W47" s="715">
        <f t="shared" si="99"/>
        <v>6</v>
      </c>
      <c r="X47" s="714"/>
      <c r="Y47" s="718">
        <v>12</v>
      </c>
      <c r="Z47" s="718"/>
      <c r="AA47" s="718"/>
      <c r="AB47" s="718">
        <v>3</v>
      </c>
      <c r="AC47" s="715">
        <f t="shared" si="100"/>
        <v>12</v>
      </c>
      <c r="AD47" s="715">
        <f t="shared" si="101"/>
        <v>15</v>
      </c>
      <c r="AE47" s="714"/>
      <c r="AF47" s="718">
        <v>10</v>
      </c>
      <c r="AG47" s="718"/>
      <c r="AH47" s="718"/>
      <c r="AI47" s="718">
        <v>2</v>
      </c>
      <c r="AJ47" s="715">
        <f t="shared" si="102"/>
        <v>10</v>
      </c>
      <c r="AK47" s="715">
        <f t="shared" si="103"/>
        <v>12</v>
      </c>
      <c r="AL47" s="714"/>
      <c r="AM47" s="718">
        <v>4</v>
      </c>
      <c r="AN47" s="718"/>
      <c r="AO47" s="718"/>
      <c r="AP47" s="718">
        <v>6</v>
      </c>
      <c r="AQ47" s="715">
        <f t="shared" si="104"/>
        <v>4</v>
      </c>
      <c r="AR47" s="715">
        <f t="shared" si="105"/>
        <v>10</v>
      </c>
      <c r="AS47" s="714"/>
      <c r="AT47" s="718">
        <v>12</v>
      </c>
      <c r="AU47" s="718"/>
      <c r="AV47" s="718"/>
      <c r="AW47" s="718">
        <v>2</v>
      </c>
      <c r="AX47" s="715">
        <f t="shared" si="106"/>
        <v>12</v>
      </c>
      <c r="AY47" s="715">
        <f t="shared" si="107"/>
        <v>14</v>
      </c>
      <c r="AZ47" s="714"/>
      <c r="BA47" s="718">
        <v>12</v>
      </c>
      <c r="BB47" s="718"/>
      <c r="BC47" s="718"/>
      <c r="BD47" s="718">
        <v>3</v>
      </c>
      <c r="BE47" s="715">
        <f t="shared" si="108"/>
        <v>12</v>
      </c>
      <c r="BF47" s="715">
        <f t="shared" si="109"/>
        <v>15</v>
      </c>
      <c r="BG47" s="714"/>
      <c r="BH47" s="718">
        <v>13</v>
      </c>
      <c r="BI47" s="718"/>
      <c r="BJ47" s="718"/>
      <c r="BK47" s="718">
        <v>3</v>
      </c>
      <c r="BL47" s="715">
        <f t="shared" si="110"/>
        <v>13</v>
      </c>
      <c r="BM47" s="715">
        <f t="shared" si="111"/>
        <v>16</v>
      </c>
      <c r="BN47" s="714"/>
      <c r="BO47" s="718">
        <v>7</v>
      </c>
      <c r="BP47" s="718"/>
      <c r="BQ47" s="718"/>
      <c r="BR47" s="718">
        <v>6</v>
      </c>
      <c r="BS47" s="715">
        <f t="shared" si="112"/>
        <v>7</v>
      </c>
      <c r="BT47" s="715">
        <f t="shared" si="113"/>
        <v>13</v>
      </c>
      <c r="BU47" s="714"/>
      <c r="BV47" s="718">
        <v>8</v>
      </c>
      <c r="BW47" s="718"/>
      <c r="BX47" s="718"/>
      <c r="BY47" s="718">
        <v>1</v>
      </c>
      <c r="BZ47" s="715">
        <f t="shared" si="114"/>
        <v>8</v>
      </c>
      <c r="CA47" s="715">
        <f t="shared" si="115"/>
        <v>9</v>
      </c>
      <c r="CB47" s="714"/>
      <c r="CC47" s="718">
        <v>5</v>
      </c>
      <c r="CD47" s="718"/>
      <c r="CE47" s="718"/>
      <c r="CF47" s="718">
        <v>7</v>
      </c>
      <c r="CG47" s="715">
        <f t="shared" si="116"/>
        <v>5</v>
      </c>
      <c r="CH47" s="715">
        <f t="shared" si="117"/>
        <v>12</v>
      </c>
      <c r="CI47" s="714"/>
      <c r="CJ47" s="718">
        <f t="shared" si="118"/>
        <v>102</v>
      </c>
      <c r="CK47" s="718">
        <f t="shared" si="119"/>
        <v>0</v>
      </c>
      <c r="CL47" s="718">
        <f t="shared" si="120"/>
        <v>0</v>
      </c>
      <c r="CM47" s="718">
        <f t="shared" si="121"/>
        <v>41</v>
      </c>
      <c r="CN47" s="715">
        <f t="shared" si="122"/>
        <v>102</v>
      </c>
      <c r="CO47" s="715">
        <f t="shared" si="123"/>
        <v>143</v>
      </c>
      <c r="CQ47" s="721">
        <f>IFERROR(CN47/#REF!,0)</f>
        <v>0</v>
      </c>
      <c r="CR47" s="721">
        <f>IFERROR(CO47/#REF!,0)</f>
        <v>0</v>
      </c>
    </row>
    <row r="48" spans="1:96">
      <c r="A48" s="701" t="s">
        <v>95</v>
      </c>
      <c r="B48" s="701" t="s">
        <v>14</v>
      </c>
      <c r="C48" s="714"/>
      <c r="D48" s="718">
        <v>300</v>
      </c>
      <c r="E48" s="718"/>
      <c r="F48" s="718"/>
      <c r="G48" s="718">
        <v>5</v>
      </c>
      <c r="H48" s="715">
        <f t="shared" si="94"/>
        <v>300</v>
      </c>
      <c r="I48" s="715">
        <f t="shared" si="95"/>
        <v>305</v>
      </c>
      <c r="J48" s="714"/>
      <c r="K48" s="718">
        <v>335</v>
      </c>
      <c r="L48" s="718"/>
      <c r="M48" s="718"/>
      <c r="N48" s="718">
        <v>1</v>
      </c>
      <c r="O48" s="715">
        <f t="shared" si="96"/>
        <v>335</v>
      </c>
      <c r="P48" s="715">
        <f t="shared" si="97"/>
        <v>336</v>
      </c>
      <c r="Q48" s="714"/>
      <c r="R48" s="718">
        <v>279</v>
      </c>
      <c r="S48" s="718"/>
      <c r="T48" s="718"/>
      <c r="U48" s="718">
        <v>2</v>
      </c>
      <c r="V48" s="715">
        <f t="shared" si="98"/>
        <v>279</v>
      </c>
      <c r="W48" s="715">
        <f t="shared" si="99"/>
        <v>281</v>
      </c>
      <c r="X48" s="714"/>
      <c r="Y48" s="718">
        <v>325</v>
      </c>
      <c r="Z48" s="718"/>
      <c r="AA48" s="718"/>
      <c r="AB48" s="718">
        <v>3</v>
      </c>
      <c r="AC48" s="715">
        <f t="shared" si="100"/>
        <v>325</v>
      </c>
      <c r="AD48" s="715">
        <f t="shared" si="101"/>
        <v>328</v>
      </c>
      <c r="AE48" s="714"/>
      <c r="AF48" s="718">
        <v>250</v>
      </c>
      <c r="AG48" s="718"/>
      <c r="AH48" s="718"/>
      <c r="AI48" s="718">
        <v>6</v>
      </c>
      <c r="AJ48" s="715">
        <f t="shared" si="102"/>
        <v>250</v>
      </c>
      <c r="AK48" s="715">
        <f t="shared" si="103"/>
        <v>256</v>
      </c>
      <c r="AL48" s="714"/>
      <c r="AM48" s="718">
        <v>218</v>
      </c>
      <c r="AN48" s="718"/>
      <c r="AO48" s="718"/>
      <c r="AP48" s="718">
        <v>9</v>
      </c>
      <c r="AQ48" s="715">
        <f t="shared" si="104"/>
        <v>218</v>
      </c>
      <c r="AR48" s="715">
        <f t="shared" si="105"/>
        <v>227</v>
      </c>
      <c r="AS48" s="714"/>
      <c r="AT48" s="718">
        <v>279</v>
      </c>
      <c r="AU48" s="718"/>
      <c r="AV48" s="718"/>
      <c r="AW48" s="718">
        <v>5</v>
      </c>
      <c r="AX48" s="715">
        <f t="shared" si="106"/>
        <v>279</v>
      </c>
      <c r="AY48" s="715">
        <f t="shared" si="107"/>
        <v>284</v>
      </c>
      <c r="AZ48" s="714"/>
      <c r="BA48" s="718">
        <v>277</v>
      </c>
      <c r="BB48" s="718"/>
      <c r="BC48" s="718"/>
      <c r="BD48" s="718">
        <v>4</v>
      </c>
      <c r="BE48" s="715">
        <f t="shared" si="108"/>
        <v>277</v>
      </c>
      <c r="BF48" s="715">
        <f t="shared" si="109"/>
        <v>281</v>
      </c>
      <c r="BG48" s="714"/>
      <c r="BH48" s="718">
        <v>296</v>
      </c>
      <c r="BI48" s="718"/>
      <c r="BJ48" s="718"/>
      <c r="BK48" s="718">
        <v>2</v>
      </c>
      <c r="BL48" s="715">
        <f t="shared" si="110"/>
        <v>296</v>
      </c>
      <c r="BM48" s="715">
        <f t="shared" si="111"/>
        <v>298</v>
      </c>
      <c r="BN48" s="714"/>
      <c r="BO48" s="718">
        <v>288</v>
      </c>
      <c r="BP48" s="718"/>
      <c r="BQ48" s="718"/>
      <c r="BR48" s="718">
        <v>5</v>
      </c>
      <c r="BS48" s="715">
        <f t="shared" si="112"/>
        <v>288</v>
      </c>
      <c r="BT48" s="715">
        <f t="shared" si="113"/>
        <v>293</v>
      </c>
      <c r="BU48" s="714"/>
      <c r="BV48" s="718">
        <v>271</v>
      </c>
      <c r="BW48" s="718"/>
      <c r="BX48" s="718"/>
      <c r="BY48" s="718">
        <v>1</v>
      </c>
      <c r="BZ48" s="715">
        <f t="shared" si="114"/>
        <v>271</v>
      </c>
      <c r="CA48" s="715">
        <f t="shared" si="115"/>
        <v>272</v>
      </c>
      <c r="CB48" s="714"/>
      <c r="CC48" s="718">
        <v>251</v>
      </c>
      <c r="CD48" s="718"/>
      <c r="CE48" s="718"/>
      <c r="CF48" s="718">
        <v>1</v>
      </c>
      <c r="CG48" s="715">
        <f t="shared" si="116"/>
        <v>251</v>
      </c>
      <c r="CH48" s="715">
        <f t="shared" si="117"/>
        <v>252</v>
      </c>
      <c r="CI48" s="714"/>
      <c r="CJ48" s="718">
        <f t="shared" si="118"/>
        <v>3369</v>
      </c>
      <c r="CK48" s="718">
        <f t="shared" si="119"/>
        <v>0</v>
      </c>
      <c r="CL48" s="718">
        <f t="shared" si="120"/>
        <v>0</v>
      </c>
      <c r="CM48" s="718">
        <f t="shared" si="121"/>
        <v>44</v>
      </c>
      <c r="CN48" s="715">
        <f t="shared" si="122"/>
        <v>3369</v>
      </c>
      <c r="CO48" s="715">
        <f t="shared" si="123"/>
        <v>3413</v>
      </c>
      <c r="CQ48" s="721">
        <f>IFERROR(CN48/#REF!,0)</f>
        <v>0</v>
      </c>
      <c r="CR48" s="721">
        <f>IFERROR(CO48/#REF!,0)</f>
        <v>0</v>
      </c>
    </row>
    <row r="49" spans="1:96">
      <c r="A49" s="701" t="s">
        <v>131</v>
      </c>
      <c r="B49" s="701" t="s">
        <v>23</v>
      </c>
      <c r="C49" s="714"/>
      <c r="D49" s="718"/>
      <c r="E49" s="718"/>
      <c r="F49" s="718"/>
      <c r="G49" s="718"/>
      <c r="H49" s="715">
        <f t="shared" si="94"/>
        <v>0</v>
      </c>
      <c r="I49" s="715">
        <f t="shared" si="95"/>
        <v>0</v>
      </c>
      <c r="J49" s="714"/>
      <c r="K49" s="718"/>
      <c r="L49" s="718"/>
      <c r="M49" s="718"/>
      <c r="N49" s="718"/>
      <c r="O49" s="715">
        <f t="shared" si="96"/>
        <v>0</v>
      </c>
      <c r="P49" s="715">
        <f t="shared" si="97"/>
        <v>0</v>
      </c>
      <c r="Q49" s="714"/>
      <c r="R49" s="718">
        <v>45</v>
      </c>
      <c r="S49" s="718"/>
      <c r="T49" s="718"/>
      <c r="U49" s="718">
        <v>2</v>
      </c>
      <c r="V49" s="715">
        <f t="shared" si="98"/>
        <v>45</v>
      </c>
      <c r="W49" s="715">
        <f t="shared" si="99"/>
        <v>47</v>
      </c>
      <c r="X49" s="714"/>
      <c r="Y49" s="718">
        <v>51</v>
      </c>
      <c r="Z49" s="718"/>
      <c r="AA49" s="718"/>
      <c r="AB49" s="718">
        <v>1</v>
      </c>
      <c r="AC49" s="715">
        <f t="shared" si="100"/>
        <v>51</v>
      </c>
      <c r="AD49" s="715">
        <f t="shared" si="101"/>
        <v>52</v>
      </c>
      <c r="AE49" s="714"/>
      <c r="AF49" s="718">
        <v>36</v>
      </c>
      <c r="AG49" s="718"/>
      <c r="AH49" s="718"/>
      <c r="AI49" s="718"/>
      <c r="AJ49" s="715">
        <f t="shared" si="102"/>
        <v>36</v>
      </c>
      <c r="AK49" s="715">
        <f t="shared" si="103"/>
        <v>36</v>
      </c>
      <c r="AL49" s="714"/>
      <c r="AM49" s="718"/>
      <c r="AN49" s="718"/>
      <c r="AO49" s="718"/>
      <c r="AP49" s="718"/>
      <c r="AQ49" s="715">
        <f t="shared" si="104"/>
        <v>0</v>
      </c>
      <c r="AR49" s="715">
        <f t="shared" si="105"/>
        <v>0</v>
      </c>
      <c r="AS49" s="714"/>
      <c r="AT49" s="718"/>
      <c r="AU49" s="718"/>
      <c r="AV49" s="718"/>
      <c r="AW49" s="718"/>
      <c r="AX49" s="715">
        <f t="shared" si="106"/>
        <v>0</v>
      </c>
      <c r="AY49" s="715">
        <f t="shared" si="107"/>
        <v>0</v>
      </c>
      <c r="AZ49" s="714"/>
      <c r="BA49" s="718"/>
      <c r="BB49" s="718"/>
      <c r="BC49" s="718"/>
      <c r="BD49" s="718"/>
      <c r="BE49" s="715">
        <f t="shared" si="108"/>
        <v>0</v>
      </c>
      <c r="BF49" s="715">
        <f t="shared" si="109"/>
        <v>0</v>
      </c>
      <c r="BG49" s="714"/>
      <c r="BH49" s="718"/>
      <c r="BI49" s="718"/>
      <c r="BJ49" s="718"/>
      <c r="BK49" s="718"/>
      <c r="BL49" s="715">
        <f t="shared" si="110"/>
        <v>0</v>
      </c>
      <c r="BM49" s="715">
        <f t="shared" si="111"/>
        <v>0</v>
      </c>
      <c r="BN49" s="714"/>
      <c r="BO49" s="718"/>
      <c r="BP49" s="718"/>
      <c r="BQ49" s="718"/>
      <c r="BR49" s="718"/>
      <c r="BS49" s="715">
        <f t="shared" si="112"/>
        <v>0</v>
      </c>
      <c r="BT49" s="715">
        <f t="shared" si="113"/>
        <v>0</v>
      </c>
      <c r="BU49" s="714"/>
      <c r="BV49" s="718"/>
      <c r="BW49" s="718"/>
      <c r="BX49" s="718"/>
      <c r="BY49" s="718"/>
      <c r="BZ49" s="715">
        <f t="shared" si="114"/>
        <v>0</v>
      </c>
      <c r="CA49" s="715">
        <f t="shared" si="115"/>
        <v>0</v>
      </c>
      <c r="CB49" s="714"/>
      <c r="CC49" s="718"/>
      <c r="CD49" s="718"/>
      <c r="CE49" s="718"/>
      <c r="CF49" s="718"/>
      <c r="CG49" s="715">
        <f t="shared" si="116"/>
        <v>0</v>
      </c>
      <c r="CH49" s="715">
        <f t="shared" si="117"/>
        <v>0</v>
      </c>
      <c r="CI49" s="714"/>
      <c r="CJ49" s="718">
        <f t="shared" si="118"/>
        <v>132</v>
      </c>
      <c r="CK49" s="718">
        <f t="shared" si="119"/>
        <v>0</v>
      </c>
      <c r="CL49" s="718">
        <f t="shared" si="120"/>
        <v>0</v>
      </c>
      <c r="CM49" s="718">
        <f t="shared" si="121"/>
        <v>3</v>
      </c>
      <c r="CN49" s="715">
        <f t="shared" si="122"/>
        <v>132</v>
      </c>
      <c r="CO49" s="715">
        <f t="shared" si="123"/>
        <v>135</v>
      </c>
      <c r="CQ49" s="721">
        <f>IFERROR(CN49/#REF!,0)</f>
        <v>0</v>
      </c>
      <c r="CR49" s="721">
        <f>IFERROR(CO49/#REF!,0)</f>
        <v>0</v>
      </c>
    </row>
    <row r="50" spans="1:96">
      <c r="A50" s="701" t="s">
        <v>107</v>
      </c>
      <c r="B50" s="701" t="s">
        <v>14</v>
      </c>
      <c r="C50" s="714"/>
      <c r="D50" s="718">
        <v>18</v>
      </c>
      <c r="E50" s="718"/>
      <c r="F50" s="718"/>
      <c r="G50" s="718"/>
      <c r="H50" s="715">
        <f t="shared" si="94"/>
        <v>18</v>
      </c>
      <c r="I50" s="715">
        <f t="shared" si="95"/>
        <v>18</v>
      </c>
      <c r="J50" s="714"/>
      <c r="K50" s="718">
        <v>12</v>
      </c>
      <c r="L50" s="718"/>
      <c r="M50" s="718"/>
      <c r="N50" s="718">
        <v>1</v>
      </c>
      <c r="O50" s="715">
        <f t="shared" si="96"/>
        <v>12</v>
      </c>
      <c r="P50" s="715">
        <f t="shared" si="97"/>
        <v>13</v>
      </c>
      <c r="Q50" s="714"/>
      <c r="R50" s="718"/>
      <c r="S50" s="718"/>
      <c r="T50" s="718"/>
      <c r="U50" s="718"/>
      <c r="V50" s="715">
        <f t="shared" si="98"/>
        <v>0</v>
      </c>
      <c r="W50" s="715">
        <f t="shared" si="99"/>
        <v>0</v>
      </c>
      <c r="X50" s="714"/>
      <c r="Y50" s="718">
        <v>4</v>
      </c>
      <c r="Z50" s="718"/>
      <c r="AA50" s="718"/>
      <c r="AB50" s="718"/>
      <c r="AC50" s="715">
        <f t="shared" si="100"/>
        <v>4</v>
      </c>
      <c r="AD50" s="715">
        <f t="shared" si="101"/>
        <v>4</v>
      </c>
      <c r="AE50" s="714"/>
      <c r="AF50" s="718">
        <v>5</v>
      </c>
      <c r="AG50" s="718"/>
      <c r="AH50" s="718"/>
      <c r="AI50" s="718">
        <v>1</v>
      </c>
      <c r="AJ50" s="715">
        <f t="shared" si="102"/>
        <v>5</v>
      </c>
      <c r="AK50" s="715">
        <f t="shared" si="103"/>
        <v>6</v>
      </c>
      <c r="AL50" s="714"/>
      <c r="AM50" s="718"/>
      <c r="AN50" s="718"/>
      <c r="AO50" s="718"/>
      <c r="AP50" s="718"/>
      <c r="AQ50" s="715">
        <f t="shared" si="104"/>
        <v>0</v>
      </c>
      <c r="AR50" s="715">
        <f t="shared" si="105"/>
        <v>0</v>
      </c>
      <c r="AS50" s="714"/>
      <c r="AT50" s="718">
        <v>6</v>
      </c>
      <c r="AU50" s="718"/>
      <c r="AV50" s="718"/>
      <c r="AW50" s="718">
        <v>1</v>
      </c>
      <c r="AX50" s="715">
        <f t="shared" si="106"/>
        <v>6</v>
      </c>
      <c r="AY50" s="715">
        <f t="shared" si="107"/>
        <v>7</v>
      </c>
      <c r="AZ50" s="714"/>
      <c r="BA50" s="718">
        <v>12</v>
      </c>
      <c r="BB50" s="718"/>
      <c r="BC50" s="718"/>
      <c r="BD50" s="718"/>
      <c r="BE50" s="715">
        <f t="shared" si="108"/>
        <v>12</v>
      </c>
      <c r="BF50" s="715">
        <f t="shared" si="109"/>
        <v>12</v>
      </c>
      <c r="BG50" s="714"/>
      <c r="BH50" s="718">
        <v>10</v>
      </c>
      <c r="BI50" s="718"/>
      <c r="BJ50" s="718"/>
      <c r="BK50" s="718"/>
      <c r="BL50" s="715">
        <f t="shared" si="110"/>
        <v>10</v>
      </c>
      <c r="BM50" s="715">
        <f t="shared" si="111"/>
        <v>10</v>
      </c>
      <c r="BN50" s="714"/>
      <c r="BO50" s="718">
        <v>12</v>
      </c>
      <c r="BP50" s="718"/>
      <c r="BQ50" s="718"/>
      <c r="BR50" s="718">
        <v>1</v>
      </c>
      <c r="BS50" s="715">
        <f t="shared" si="112"/>
        <v>12</v>
      </c>
      <c r="BT50" s="715">
        <f t="shared" si="113"/>
        <v>13</v>
      </c>
      <c r="BU50" s="714"/>
      <c r="BV50" s="718">
        <v>17</v>
      </c>
      <c r="BW50" s="718"/>
      <c r="BX50" s="718"/>
      <c r="BY50" s="718">
        <v>1</v>
      </c>
      <c r="BZ50" s="715">
        <f t="shared" si="114"/>
        <v>17</v>
      </c>
      <c r="CA50" s="715">
        <f t="shared" si="115"/>
        <v>18</v>
      </c>
      <c r="CB50" s="714"/>
      <c r="CC50" s="718">
        <v>9</v>
      </c>
      <c r="CD50" s="718"/>
      <c r="CE50" s="718"/>
      <c r="CF50" s="718">
        <v>1</v>
      </c>
      <c r="CG50" s="715">
        <f t="shared" si="116"/>
        <v>9</v>
      </c>
      <c r="CH50" s="715">
        <f t="shared" si="117"/>
        <v>10</v>
      </c>
      <c r="CI50" s="714"/>
      <c r="CJ50" s="718">
        <f t="shared" si="118"/>
        <v>105</v>
      </c>
      <c r="CK50" s="718">
        <f t="shared" si="119"/>
        <v>0</v>
      </c>
      <c r="CL50" s="718">
        <f t="shared" si="120"/>
        <v>0</v>
      </c>
      <c r="CM50" s="718">
        <f t="shared" si="121"/>
        <v>6</v>
      </c>
      <c r="CN50" s="715">
        <f t="shared" si="122"/>
        <v>105</v>
      </c>
      <c r="CO50" s="715">
        <f t="shared" si="123"/>
        <v>111</v>
      </c>
      <c r="CQ50" s="721">
        <f>IFERROR(CN50/#REF!,0)</f>
        <v>0</v>
      </c>
      <c r="CR50" s="721">
        <f>IFERROR(CO50/#REF!,0)</f>
        <v>0</v>
      </c>
    </row>
    <row r="51" spans="1:96">
      <c r="A51" s="701" t="s">
        <v>259</v>
      </c>
      <c r="B51" s="701" t="s">
        <v>14</v>
      </c>
      <c r="C51" s="714"/>
      <c r="D51" s="718">
        <v>103</v>
      </c>
      <c r="E51" s="718"/>
      <c r="F51" s="718"/>
      <c r="G51" s="718">
        <v>35</v>
      </c>
      <c r="H51" s="715">
        <f t="shared" si="94"/>
        <v>103</v>
      </c>
      <c r="I51" s="715">
        <f t="shared" si="95"/>
        <v>138</v>
      </c>
      <c r="J51" s="714"/>
      <c r="K51" s="718">
        <v>108</v>
      </c>
      <c r="L51" s="718"/>
      <c r="M51" s="718"/>
      <c r="N51" s="718">
        <v>27</v>
      </c>
      <c r="O51" s="715">
        <f t="shared" si="96"/>
        <v>108</v>
      </c>
      <c r="P51" s="715">
        <f t="shared" si="97"/>
        <v>135</v>
      </c>
      <c r="Q51" s="714"/>
      <c r="R51" s="718">
        <v>97</v>
      </c>
      <c r="S51" s="718"/>
      <c r="T51" s="718"/>
      <c r="U51" s="718">
        <v>25</v>
      </c>
      <c r="V51" s="715">
        <f t="shared" si="98"/>
        <v>97</v>
      </c>
      <c r="W51" s="715">
        <f t="shared" si="99"/>
        <v>122</v>
      </c>
      <c r="X51" s="714"/>
      <c r="Y51" s="718">
        <v>101</v>
      </c>
      <c r="Z51" s="718"/>
      <c r="AA51" s="718"/>
      <c r="AB51" s="718">
        <v>32</v>
      </c>
      <c r="AC51" s="715">
        <f t="shared" si="100"/>
        <v>101</v>
      </c>
      <c r="AD51" s="715">
        <f t="shared" si="101"/>
        <v>133</v>
      </c>
      <c r="AE51" s="714"/>
      <c r="AF51" s="718">
        <v>92</v>
      </c>
      <c r="AG51" s="718"/>
      <c r="AH51" s="718"/>
      <c r="AI51" s="718">
        <v>38</v>
      </c>
      <c r="AJ51" s="715">
        <f t="shared" si="102"/>
        <v>92</v>
      </c>
      <c r="AK51" s="715">
        <f t="shared" si="103"/>
        <v>130</v>
      </c>
      <c r="AL51" s="714"/>
      <c r="AM51" s="718">
        <v>95</v>
      </c>
      <c r="AN51" s="718"/>
      <c r="AO51" s="718"/>
      <c r="AP51" s="718">
        <v>35</v>
      </c>
      <c r="AQ51" s="715">
        <f t="shared" si="104"/>
        <v>95</v>
      </c>
      <c r="AR51" s="715">
        <f t="shared" si="105"/>
        <v>130</v>
      </c>
      <c r="AS51" s="714"/>
      <c r="AT51" s="718">
        <v>130</v>
      </c>
      <c r="AU51" s="718"/>
      <c r="AV51" s="718"/>
      <c r="AW51" s="718">
        <v>32</v>
      </c>
      <c r="AX51" s="715">
        <f t="shared" si="106"/>
        <v>130</v>
      </c>
      <c r="AY51" s="715">
        <f t="shared" si="107"/>
        <v>162</v>
      </c>
      <c r="AZ51" s="714"/>
      <c r="BA51" s="718">
        <v>162</v>
      </c>
      <c r="BB51" s="718"/>
      <c r="BC51" s="718"/>
      <c r="BD51" s="718">
        <v>29</v>
      </c>
      <c r="BE51" s="715">
        <f t="shared" si="108"/>
        <v>162</v>
      </c>
      <c r="BF51" s="715">
        <f t="shared" si="109"/>
        <v>191</v>
      </c>
      <c r="BG51" s="714"/>
      <c r="BH51" s="718">
        <v>196</v>
      </c>
      <c r="BI51" s="718"/>
      <c r="BJ51" s="718"/>
      <c r="BK51" s="718">
        <v>19</v>
      </c>
      <c r="BL51" s="715">
        <f t="shared" si="110"/>
        <v>196</v>
      </c>
      <c r="BM51" s="715">
        <f t="shared" si="111"/>
        <v>215</v>
      </c>
      <c r="BN51" s="714"/>
      <c r="BO51" s="718">
        <v>148</v>
      </c>
      <c r="BP51" s="718"/>
      <c r="BQ51" s="718"/>
      <c r="BR51" s="718">
        <v>20</v>
      </c>
      <c r="BS51" s="715">
        <f t="shared" si="112"/>
        <v>148</v>
      </c>
      <c r="BT51" s="715">
        <f t="shared" si="113"/>
        <v>168</v>
      </c>
      <c r="BU51" s="714"/>
      <c r="BV51" s="718">
        <v>156</v>
      </c>
      <c r="BW51" s="718"/>
      <c r="BX51" s="718"/>
      <c r="BY51" s="718">
        <v>11</v>
      </c>
      <c r="BZ51" s="715">
        <f t="shared" si="114"/>
        <v>156</v>
      </c>
      <c r="CA51" s="715">
        <f t="shared" si="115"/>
        <v>167</v>
      </c>
      <c r="CB51" s="714"/>
      <c r="CC51" s="718">
        <v>117</v>
      </c>
      <c r="CD51" s="718"/>
      <c r="CE51" s="718"/>
      <c r="CF51" s="718">
        <v>14</v>
      </c>
      <c r="CG51" s="715">
        <f t="shared" si="116"/>
        <v>117</v>
      </c>
      <c r="CH51" s="715">
        <f t="shared" si="117"/>
        <v>131</v>
      </c>
      <c r="CI51" s="714"/>
      <c r="CJ51" s="718">
        <f t="shared" si="118"/>
        <v>1505</v>
      </c>
      <c r="CK51" s="718">
        <f t="shared" si="119"/>
        <v>0</v>
      </c>
      <c r="CL51" s="718">
        <f t="shared" si="120"/>
        <v>0</v>
      </c>
      <c r="CM51" s="718">
        <f t="shared" si="121"/>
        <v>317</v>
      </c>
      <c r="CN51" s="715">
        <f t="shared" si="122"/>
        <v>1505</v>
      </c>
      <c r="CO51" s="715">
        <f t="shared" si="123"/>
        <v>1822</v>
      </c>
      <c r="CQ51" s="721">
        <f>IFERROR(CN51/#REF!,0)</f>
        <v>0</v>
      </c>
      <c r="CR51" s="721">
        <f>IFERROR(CO51/#REF!,0)</f>
        <v>0</v>
      </c>
    </row>
    <row r="52" spans="1:96">
      <c r="A52" s="701" t="s">
        <v>31</v>
      </c>
      <c r="B52" s="701" t="s">
        <v>23</v>
      </c>
      <c r="C52" s="714"/>
      <c r="D52" s="718"/>
      <c r="E52" s="718"/>
      <c r="F52" s="718"/>
      <c r="G52" s="718"/>
      <c r="H52" s="715">
        <f t="shared" si="94"/>
        <v>0</v>
      </c>
      <c r="I52" s="715">
        <f t="shared" si="95"/>
        <v>0</v>
      </c>
      <c r="J52" s="714"/>
      <c r="K52" s="718"/>
      <c r="L52" s="718"/>
      <c r="M52" s="718"/>
      <c r="N52" s="718"/>
      <c r="O52" s="715">
        <f t="shared" si="96"/>
        <v>0</v>
      </c>
      <c r="P52" s="715">
        <f t="shared" si="97"/>
        <v>0</v>
      </c>
      <c r="Q52" s="714"/>
      <c r="R52" s="718">
        <v>4</v>
      </c>
      <c r="S52" s="718"/>
      <c r="T52" s="718"/>
      <c r="U52" s="718"/>
      <c r="V52" s="715">
        <f t="shared" si="98"/>
        <v>4</v>
      </c>
      <c r="W52" s="715">
        <f t="shared" si="99"/>
        <v>4</v>
      </c>
      <c r="X52" s="714"/>
      <c r="Y52" s="718">
        <v>14</v>
      </c>
      <c r="Z52" s="718"/>
      <c r="AA52" s="718"/>
      <c r="AB52" s="718"/>
      <c r="AC52" s="715">
        <f t="shared" si="100"/>
        <v>14</v>
      </c>
      <c r="AD52" s="715">
        <f t="shared" si="101"/>
        <v>14</v>
      </c>
      <c r="AE52" s="714"/>
      <c r="AF52" s="718">
        <v>7</v>
      </c>
      <c r="AG52" s="718"/>
      <c r="AH52" s="718"/>
      <c r="AI52" s="718"/>
      <c r="AJ52" s="715">
        <f t="shared" si="102"/>
        <v>7</v>
      </c>
      <c r="AK52" s="715">
        <f t="shared" si="103"/>
        <v>7</v>
      </c>
      <c r="AL52" s="714"/>
      <c r="AM52" s="718"/>
      <c r="AN52" s="718"/>
      <c r="AO52" s="718"/>
      <c r="AP52" s="718"/>
      <c r="AQ52" s="715">
        <f t="shared" si="104"/>
        <v>0</v>
      </c>
      <c r="AR52" s="715">
        <f t="shared" si="105"/>
        <v>0</v>
      </c>
      <c r="AS52" s="714"/>
      <c r="AT52" s="718"/>
      <c r="AU52" s="718"/>
      <c r="AV52" s="718"/>
      <c r="AW52" s="718"/>
      <c r="AX52" s="715">
        <f t="shared" si="106"/>
        <v>0</v>
      </c>
      <c r="AY52" s="715">
        <f t="shared" si="107"/>
        <v>0</v>
      </c>
      <c r="AZ52" s="714"/>
      <c r="BA52" s="718"/>
      <c r="BB52" s="718"/>
      <c r="BC52" s="718"/>
      <c r="BD52" s="718"/>
      <c r="BE52" s="715">
        <f t="shared" si="108"/>
        <v>0</v>
      </c>
      <c r="BF52" s="715">
        <f t="shared" si="109"/>
        <v>0</v>
      </c>
      <c r="BG52" s="714"/>
      <c r="BH52" s="718"/>
      <c r="BI52" s="718"/>
      <c r="BJ52" s="718"/>
      <c r="BK52" s="718"/>
      <c r="BL52" s="715">
        <f t="shared" si="110"/>
        <v>0</v>
      </c>
      <c r="BM52" s="715">
        <f t="shared" si="111"/>
        <v>0</v>
      </c>
      <c r="BN52" s="714"/>
      <c r="BO52" s="718"/>
      <c r="BP52" s="718"/>
      <c r="BQ52" s="718"/>
      <c r="BR52" s="718"/>
      <c r="BS52" s="715">
        <f t="shared" si="112"/>
        <v>0</v>
      </c>
      <c r="BT52" s="715">
        <f t="shared" si="113"/>
        <v>0</v>
      </c>
      <c r="BU52" s="714"/>
      <c r="BV52" s="718"/>
      <c r="BW52" s="718"/>
      <c r="BX52" s="718"/>
      <c r="BY52" s="718"/>
      <c r="BZ52" s="715">
        <f t="shared" si="114"/>
        <v>0</v>
      </c>
      <c r="CA52" s="715">
        <f t="shared" si="115"/>
        <v>0</v>
      </c>
      <c r="CB52" s="714"/>
      <c r="CC52" s="718"/>
      <c r="CD52" s="718"/>
      <c r="CE52" s="718"/>
      <c r="CF52" s="718"/>
      <c r="CG52" s="715">
        <f t="shared" si="116"/>
        <v>0</v>
      </c>
      <c r="CH52" s="715">
        <f t="shared" si="117"/>
        <v>0</v>
      </c>
      <c r="CI52" s="714"/>
      <c r="CJ52" s="718">
        <f t="shared" si="118"/>
        <v>25</v>
      </c>
      <c r="CK52" s="718">
        <f t="shared" si="119"/>
        <v>0</v>
      </c>
      <c r="CL52" s="718">
        <f t="shared" si="120"/>
        <v>0</v>
      </c>
      <c r="CM52" s="718">
        <f t="shared" si="121"/>
        <v>0</v>
      </c>
      <c r="CN52" s="715">
        <f t="shared" si="122"/>
        <v>25</v>
      </c>
      <c r="CO52" s="715">
        <f t="shared" si="123"/>
        <v>25</v>
      </c>
      <c r="CQ52" s="721">
        <f>IFERROR(CN52/#REF!,0)</f>
        <v>0</v>
      </c>
      <c r="CR52" s="721">
        <f>IFERROR(CO52/#REF!,0)</f>
        <v>0</v>
      </c>
    </row>
    <row r="53" spans="1:96">
      <c r="A53" s="701" t="s">
        <v>120</v>
      </c>
      <c r="B53" s="701" t="s">
        <v>328</v>
      </c>
      <c r="C53" s="714"/>
      <c r="D53" s="718">
        <f>22+2</f>
        <v>24</v>
      </c>
      <c r="E53" s="718">
        <v>3</v>
      </c>
      <c r="F53" s="718"/>
      <c r="G53" s="718">
        <v>65</v>
      </c>
      <c r="H53" s="715">
        <f t="shared" si="94"/>
        <v>27</v>
      </c>
      <c r="I53" s="715">
        <f t="shared" si="95"/>
        <v>89</v>
      </c>
      <c r="J53" s="714"/>
      <c r="K53" s="718">
        <v>24</v>
      </c>
      <c r="L53" s="718">
        <v>4</v>
      </c>
      <c r="M53" s="718"/>
      <c r="N53" s="718">
        <v>96</v>
      </c>
      <c r="O53" s="715">
        <f t="shared" si="96"/>
        <v>28</v>
      </c>
      <c r="P53" s="715">
        <f t="shared" si="97"/>
        <v>120</v>
      </c>
      <c r="Q53" s="714"/>
      <c r="R53" s="718">
        <v>18</v>
      </c>
      <c r="S53" s="718">
        <v>6</v>
      </c>
      <c r="T53" s="718"/>
      <c r="U53" s="718">
        <v>36</v>
      </c>
      <c r="V53" s="715">
        <f t="shared" si="98"/>
        <v>24</v>
      </c>
      <c r="W53" s="715">
        <f t="shared" si="99"/>
        <v>54</v>
      </c>
      <c r="X53" s="714"/>
      <c r="Y53" s="718">
        <v>2</v>
      </c>
      <c r="Z53" s="718"/>
      <c r="AA53" s="718"/>
      <c r="AB53" s="718">
        <v>60</v>
      </c>
      <c r="AC53" s="715">
        <f t="shared" si="100"/>
        <v>2</v>
      </c>
      <c r="AD53" s="715">
        <f t="shared" si="101"/>
        <v>62</v>
      </c>
      <c r="AE53" s="714"/>
      <c r="AF53" s="718"/>
      <c r="AG53" s="718"/>
      <c r="AH53" s="718"/>
      <c r="AI53" s="718">
        <v>44</v>
      </c>
      <c r="AJ53" s="715">
        <f t="shared" si="102"/>
        <v>0</v>
      </c>
      <c r="AK53" s="715">
        <f t="shared" si="103"/>
        <v>44</v>
      </c>
      <c r="AL53" s="714"/>
      <c r="AM53" s="718"/>
      <c r="AN53" s="718"/>
      <c r="AO53" s="718"/>
      <c r="AP53" s="718">
        <v>22</v>
      </c>
      <c r="AQ53" s="715">
        <f t="shared" si="104"/>
        <v>0</v>
      </c>
      <c r="AR53" s="715">
        <f t="shared" si="105"/>
        <v>22</v>
      </c>
      <c r="AS53" s="714"/>
      <c r="AT53" s="718"/>
      <c r="AU53" s="718"/>
      <c r="AV53" s="718"/>
      <c r="AW53" s="718">
        <v>21</v>
      </c>
      <c r="AX53" s="715">
        <f t="shared" si="106"/>
        <v>0</v>
      </c>
      <c r="AY53" s="715">
        <f t="shared" si="107"/>
        <v>21</v>
      </c>
      <c r="AZ53" s="714"/>
      <c r="BA53" s="718"/>
      <c r="BB53" s="718"/>
      <c r="BC53" s="718"/>
      <c r="BD53" s="718">
        <v>34</v>
      </c>
      <c r="BE53" s="715">
        <f t="shared" si="108"/>
        <v>0</v>
      </c>
      <c r="BF53" s="715">
        <f t="shared" si="109"/>
        <v>34</v>
      </c>
      <c r="BG53" s="714"/>
      <c r="BH53" s="718"/>
      <c r="BI53" s="718"/>
      <c r="BJ53" s="718"/>
      <c r="BK53" s="718">
        <v>25</v>
      </c>
      <c r="BL53" s="715">
        <f t="shared" si="110"/>
        <v>0</v>
      </c>
      <c r="BM53" s="715">
        <f t="shared" si="111"/>
        <v>25</v>
      </c>
      <c r="BN53" s="714"/>
      <c r="BO53" s="718"/>
      <c r="BP53" s="718"/>
      <c r="BQ53" s="718"/>
      <c r="BR53" s="718">
        <v>30</v>
      </c>
      <c r="BS53" s="715">
        <f t="shared" si="112"/>
        <v>0</v>
      </c>
      <c r="BT53" s="715">
        <f t="shared" si="113"/>
        <v>30</v>
      </c>
      <c r="BU53" s="714"/>
      <c r="BV53" s="718"/>
      <c r="BW53" s="718"/>
      <c r="BX53" s="718"/>
      <c r="BY53" s="718">
        <v>41</v>
      </c>
      <c r="BZ53" s="715">
        <f t="shared" si="114"/>
        <v>0</v>
      </c>
      <c r="CA53" s="715">
        <f t="shared" si="115"/>
        <v>41</v>
      </c>
      <c r="CB53" s="714"/>
      <c r="CC53" s="718"/>
      <c r="CD53" s="718"/>
      <c r="CE53" s="718"/>
      <c r="CF53" s="718">
        <v>26</v>
      </c>
      <c r="CG53" s="715">
        <f t="shared" si="116"/>
        <v>0</v>
      </c>
      <c r="CH53" s="715">
        <f t="shared" si="117"/>
        <v>26</v>
      </c>
      <c r="CI53" s="714"/>
      <c r="CJ53" s="718">
        <f t="shared" si="118"/>
        <v>68</v>
      </c>
      <c r="CK53" s="718">
        <f t="shared" si="119"/>
        <v>13</v>
      </c>
      <c r="CL53" s="718">
        <f t="shared" si="120"/>
        <v>0</v>
      </c>
      <c r="CM53" s="718">
        <f t="shared" si="121"/>
        <v>500</v>
      </c>
      <c r="CN53" s="715">
        <f t="shared" si="122"/>
        <v>81</v>
      </c>
      <c r="CO53" s="715">
        <f t="shared" si="123"/>
        <v>568</v>
      </c>
      <c r="CQ53" s="721">
        <f>IFERROR(CN53/#REF!,0)</f>
        <v>0</v>
      </c>
      <c r="CR53" s="721">
        <f>IFERROR(CO53/#REF!,0)</f>
        <v>0</v>
      </c>
    </row>
    <row r="54" spans="1:96">
      <c r="A54" s="701"/>
      <c r="B54" s="706" t="s">
        <v>137</v>
      </c>
      <c r="C54" s="714"/>
      <c r="D54" s="718">
        <f t="shared" ref="D54:I54" si="124">SUM(D31:D53)</f>
        <v>11444</v>
      </c>
      <c r="E54" s="718">
        <f t="shared" si="124"/>
        <v>546</v>
      </c>
      <c r="F54" s="718">
        <f t="shared" si="124"/>
        <v>140</v>
      </c>
      <c r="G54" s="718">
        <f t="shared" si="124"/>
        <v>405</v>
      </c>
      <c r="H54" s="715">
        <f t="shared" si="124"/>
        <v>12130</v>
      </c>
      <c r="I54" s="715">
        <f t="shared" si="124"/>
        <v>11849</v>
      </c>
      <c r="J54" s="714"/>
      <c r="K54" s="718">
        <f t="shared" ref="K54:P54" si="125">SUM(K31:K53)</f>
        <v>12516</v>
      </c>
      <c r="L54" s="718">
        <f t="shared" si="125"/>
        <v>639</v>
      </c>
      <c r="M54" s="718">
        <f t="shared" si="125"/>
        <v>108</v>
      </c>
      <c r="N54" s="718">
        <f t="shared" si="125"/>
        <v>441</v>
      </c>
      <c r="O54" s="715">
        <f t="shared" si="125"/>
        <v>13263</v>
      </c>
      <c r="P54" s="715">
        <f t="shared" si="125"/>
        <v>12957</v>
      </c>
      <c r="Q54" s="714"/>
      <c r="R54" s="718">
        <f t="shared" ref="R54:W54" si="126">SUM(R31:R53)</f>
        <v>10686</v>
      </c>
      <c r="S54" s="718">
        <f t="shared" si="126"/>
        <v>505</v>
      </c>
      <c r="T54" s="718">
        <f t="shared" si="126"/>
        <v>73</v>
      </c>
      <c r="U54" s="718">
        <f t="shared" si="126"/>
        <v>312</v>
      </c>
      <c r="V54" s="715">
        <f t="shared" si="126"/>
        <v>11264</v>
      </c>
      <c r="W54" s="715">
        <f t="shared" si="126"/>
        <v>10998</v>
      </c>
      <c r="X54" s="714"/>
      <c r="Y54" s="718">
        <f t="shared" ref="Y54:AD54" si="127">SUM(Y31:Y53)</f>
        <v>12623</v>
      </c>
      <c r="Z54" s="718">
        <f t="shared" si="127"/>
        <v>629</v>
      </c>
      <c r="AA54" s="718">
        <f t="shared" si="127"/>
        <v>108</v>
      </c>
      <c r="AB54" s="718">
        <f t="shared" si="127"/>
        <v>357</v>
      </c>
      <c r="AC54" s="715">
        <f t="shared" si="127"/>
        <v>13360</v>
      </c>
      <c r="AD54" s="715">
        <f t="shared" si="127"/>
        <v>12980</v>
      </c>
      <c r="AE54" s="714"/>
      <c r="AF54" s="718">
        <f t="shared" ref="AF54:AK54" si="128">SUM(AF31:AF53)</f>
        <v>10598</v>
      </c>
      <c r="AG54" s="718">
        <f t="shared" si="128"/>
        <v>435</v>
      </c>
      <c r="AH54" s="718">
        <f t="shared" si="128"/>
        <v>90</v>
      </c>
      <c r="AI54" s="718">
        <f t="shared" si="128"/>
        <v>358</v>
      </c>
      <c r="AJ54" s="715">
        <f t="shared" si="128"/>
        <v>11123</v>
      </c>
      <c r="AK54" s="715">
        <f t="shared" si="128"/>
        <v>10956</v>
      </c>
      <c r="AL54" s="714"/>
      <c r="AM54" s="718">
        <f t="shared" ref="AM54:AR54" si="129">SUM(AM31:AM53)</f>
        <v>8930</v>
      </c>
      <c r="AN54" s="718">
        <f t="shared" si="129"/>
        <v>344</v>
      </c>
      <c r="AO54" s="718">
        <f t="shared" si="129"/>
        <v>75</v>
      </c>
      <c r="AP54" s="718">
        <f t="shared" si="129"/>
        <v>351</v>
      </c>
      <c r="AQ54" s="715">
        <f t="shared" si="129"/>
        <v>9349</v>
      </c>
      <c r="AR54" s="715">
        <f t="shared" si="129"/>
        <v>9281</v>
      </c>
      <c r="AS54" s="714"/>
      <c r="AT54" s="718">
        <f t="shared" ref="AT54:AY54" si="130">SUM(AT31:AT53)</f>
        <v>11517</v>
      </c>
      <c r="AU54" s="718">
        <f t="shared" si="130"/>
        <v>404</v>
      </c>
      <c r="AV54" s="718">
        <f t="shared" si="130"/>
        <v>96</v>
      </c>
      <c r="AW54" s="718">
        <f t="shared" si="130"/>
        <v>366</v>
      </c>
      <c r="AX54" s="715">
        <f t="shared" si="130"/>
        <v>12017</v>
      </c>
      <c r="AY54" s="715">
        <f t="shared" si="130"/>
        <v>11883</v>
      </c>
      <c r="AZ54" s="714"/>
      <c r="BA54" s="718">
        <f t="shared" ref="BA54:BF54" si="131">SUM(BA31:BA53)</f>
        <v>11264</v>
      </c>
      <c r="BB54" s="718">
        <f t="shared" si="131"/>
        <v>475</v>
      </c>
      <c r="BC54" s="718">
        <f t="shared" si="131"/>
        <v>133</v>
      </c>
      <c r="BD54" s="718">
        <f t="shared" si="131"/>
        <v>377</v>
      </c>
      <c r="BE54" s="715">
        <f t="shared" si="131"/>
        <v>11872</v>
      </c>
      <c r="BF54" s="715">
        <f t="shared" si="131"/>
        <v>11641</v>
      </c>
      <c r="BG54" s="714"/>
      <c r="BH54" s="718">
        <f t="shared" ref="BH54:BM54" si="132">SUM(BH31:BH53)</f>
        <v>11963</v>
      </c>
      <c r="BI54" s="718">
        <f t="shared" si="132"/>
        <v>522</v>
      </c>
      <c r="BJ54" s="718">
        <f t="shared" si="132"/>
        <v>139</v>
      </c>
      <c r="BK54" s="718">
        <f t="shared" si="132"/>
        <v>360</v>
      </c>
      <c r="BL54" s="715">
        <f t="shared" si="132"/>
        <v>12624</v>
      </c>
      <c r="BM54" s="715">
        <f t="shared" si="132"/>
        <v>12323</v>
      </c>
      <c r="BN54" s="714"/>
      <c r="BO54" s="718">
        <f t="shared" ref="BO54:BT54" si="133">SUM(BO31:BO53)</f>
        <v>12041</v>
      </c>
      <c r="BP54" s="718">
        <f t="shared" si="133"/>
        <v>422</v>
      </c>
      <c r="BQ54" s="718">
        <f t="shared" si="133"/>
        <v>110</v>
      </c>
      <c r="BR54" s="718">
        <f t="shared" si="133"/>
        <v>305</v>
      </c>
      <c r="BS54" s="715">
        <f t="shared" si="133"/>
        <v>12573</v>
      </c>
      <c r="BT54" s="715">
        <f t="shared" si="133"/>
        <v>12346</v>
      </c>
      <c r="BU54" s="714"/>
      <c r="BV54" s="718">
        <f t="shared" ref="BV54:CA54" si="134">SUM(BV31:BV53)</f>
        <v>12781</v>
      </c>
      <c r="BW54" s="718">
        <f t="shared" si="134"/>
        <v>458</v>
      </c>
      <c r="BX54" s="718">
        <f t="shared" si="134"/>
        <v>195</v>
      </c>
      <c r="BY54" s="718">
        <f t="shared" si="134"/>
        <v>342</v>
      </c>
      <c r="BZ54" s="715">
        <f t="shared" si="134"/>
        <v>13434</v>
      </c>
      <c r="CA54" s="715">
        <f t="shared" si="134"/>
        <v>13123</v>
      </c>
      <c r="CB54" s="714"/>
      <c r="CC54" s="718">
        <f t="shared" ref="CC54:CH54" si="135">SUM(CC31:CC53)</f>
        <v>11747</v>
      </c>
      <c r="CD54" s="718">
        <f t="shared" si="135"/>
        <v>389</v>
      </c>
      <c r="CE54" s="718">
        <f t="shared" si="135"/>
        <v>241</v>
      </c>
      <c r="CF54" s="718">
        <f t="shared" si="135"/>
        <v>285</v>
      </c>
      <c r="CG54" s="715">
        <f t="shared" si="135"/>
        <v>12377</v>
      </c>
      <c r="CH54" s="715">
        <f t="shared" si="135"/>
        <v>12032</v>
      </c>
      <c r="CI54" s="714"/>
      <c r="CJ54" s="718">
        <f t="shared" ref="CJ54:CO54" si="136">SUM(CJ31:CJ53)</f>
        <v>138110</v>
      </c>
      <c r="CK54" s="718">
        <f t="shared" si="136"/>
        <v>5768</v>
      </c>
      <c r="CL54" s="718">
        <f t="shared" si="136"/>
        <v>1508</v>
      </c>
      <c r="CM54" s="718">
        <f t="shared" si="136"/>
        <v>4259</v>
      </c>
      <c r="CN54" s="715">
        <f t="shared" si="136"/>
        <v>145386</v>
      </c>
      <c r="CO54" s="715">
        <f t="shared" si="136"/>
        <v>142369</v>
      </c>
      <c r="CQ54" s="721">
        <f>SUM(CQ31:CQ53)</f>
        <v>0</v>
      </c>
      <c r="CR54" s="721">
        <f>SUM(CR31:CR53)</f>
        <v>0</v>
      </c>
    </row>
  </sheetData>
  <mergeCells count="30">
    <mergeCell ref="CQ3:CQ4"/>
    <mergeCell ref="CR3:CR4"/>
    <mergeCell ref="CJ3:CO3"/>
    <mergeCell ref="BH3:BM3"/>
    <mergeCell ref="BO3:BT3"/>
    <mergeCell ref="BV3:CA3"/>
    <mergeCell ref="CC3:CH3"/>
    <mergeCell ref="D29:I29"/>
    <mergeCell ref="K29:P29"/>
    <mergeCell ref="R29:W29"/>
    <mergeCell ref="Y29:AD29"/>
    <mergeCell ref="BA3:BF3"/>
    <mergeCell ref="AF3:AK3"/>
    <mergeCell ref="AM3:AR3"/>
    <mergeCell ref="AT3:AY3"/>
    <mergeCell ref="D3:I3"/>
    <mergeCell ref="K3:P3"/>
    <mergeCell ref="R3:W3"/>
    <mergeCell ref="Y3:AD3"/>
    <mergeCell ref="AF29:AK29"/>
    <mergeCell ref="AM29:AR29"/>
    <mergeCell ref="AT29:AY29"/>
    <mergeCell ref="BA29:BF29"/>
    <mergeCell ref="BH29:BM29"/>
    <mergeCell ref="CR29:CR30"/>
    <mergeCell ref="BO29:BT29"/>
    <mergeCell ref="BV29:CA29"/>
    <mergeCell ref="CC29:CH29"/>
    <mergeCell ref="CJ29:CO29"/>
    <mergeCell ref="CQ29:CQ30"/>
  </mergeCells>
  <phoneticPr fontId="0" type="noConversion"/>
  <printOptions horizontalCentered="1"/>
  <pageMargins left="0.25" right="0.25" top="0.5" bottom="0.5" header="0.5" footer="0.25"/>
  <pageSetup scale="50" fitToWidth="2" orientation="landscape" r:id="rId1"/>
  <headerFooter alignWithMargins="0">
    <oddFooter>&amp;RPage &amp;P
&amp;D</oddFooter>
  </headerFooter>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ignoredErrors>
    <ignoredError sqref="CQ28:CR28" evalError="1"/>
  </ignoredErrors>
  <legacy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X23"/>
  <sheetViews>
    <sheetView zoomScale="80" zoomScaleNormal="80" workbookViewId="0">
      <selection activeCell="P32" sqref="P32"/>
    </sheetView>
  </sheetViews>
  <sheetFormatPr defaultRowHeight="13.2"/>
  <cols>
    <col min="1" max="1" width="18.33203125" customWidth="1"/>
    <col min="2" max="2" width="33.88671875" customWidth="1"/>
    <col min="3" max="3" width="13.88671875" bestFit="1" customWidth="1"/>
    <col min="4" max="4" width="13.5546875" bestFit="1" customWidth="1"/>
    <col min="5" max="5" width="13.6640625" bestFit="1" customWidth="1"/>
    <col min="6" max="8" width="13.5546875" customWidth="1"/>
    <col min="9" max="14" width="13.5546875" hidden="1" customWidth="1"/>
    <col min="15" max="15" width="14.88671875" bestFit="1" customWidth="1"/>
    <col min="16" max="16" width="14.88671875" customWidth="1"/>
    <col min="17" max="18" width="14.33203125" hidden="1" customWidth="1"/>
    <col min="19" max="20" width="14.88671875" bestFit="1" customWidth="1"/>
    <col min="21" max="21" width="16.109375" bestFit="1" customWidth="1"/>
    <col min="22" max="22" width="12.44140625" bestFit="1" customWidth="1"/>
  </cols>
  <sheetData>
    <row r="1" spans="1:24" ht="21" customHeight="1">
      <c r="A1" s="192" t="s">
        <v>439</v>
      </c>
      <c r="E1" s="71"/>
      <c r="O1" s="2"/>
      <c r="P1" s="2"/>
      <c r="Q1" s="2"/>
      <c r="R1" s="2"/>
      <c r="S1" s="2"/>
      <c r="T1" s="2"/>
    </row>
    <row r="2" spans="1:24" s="499" customFormat="1" ht="13.95" customHeight="1">
      <c r="A2" s="1083" t="s">
        <v>441</v>
      </c>
      <c r="B2" s="1083"/>
      <c r="C2" s="1083"/>
      <c r="D2" s="1083"/>
      <c r="E2" s="1083"/>
      <c r="F2" s="1083"/>
      <c r="G2" s="1083"/>
      <c r="H2" s="1083"/>
      <c r="I2" s="1083"/>
      <c r="J2" s="1083"/>
      <c r="K2" s="1083"/>
      <c r="L2" s="1083"/>
      <c r="M2" s="1083"/>
      <c r="N2" s="1083"/>
      <c r="O2" s="1083"/>
      <c r="P2" s="1083"/>
      <c r="Q2" s="1083"/>
      <c r="R2" s="1083"/>
      <c r="S2" s="1083"/>
      <c r="T2" s="1083"/>
      <c r="U2" s="1083"/>
      <c r="V2" s="1083"/>
    </row>
    <row r="4" spans="1:24" s="204" customFormat="1" ht="15.6">
      <c r="A4" s="597"/>
      <c r="B4" s="597"/>
      <c r="C4" s="598" t="s">
        <v>8</v>
      </c>
      <c r="D4" s="597" t="s">
        <v>78</v>
      </c>
      <c r="E4" s="597" t="s">
        <v>79</v>
      </c>
      <c r="F4" s="597" t="s">
        <v>80</v>
      </c>
      <c r="G4" s="597" t="s">
        <v>81</v>
      </c>
      <c r="H4" s="597" t="s">
        <v>82</v>
      </c>
      <c r="I4" s="597" t="s">
        <v>83</v>
      </c>
      <c r="J4" s="597" t="s">
        <v>84</v>
      </c>
      <c r="K4" s="597" t="s">
        <v>85</v>
      </c>
      <c r="L4" s="597" t="s">
        <v>4</v>
      </c>
      <c r="M4" s="597" t="s">
        <v>5</v>
      </c>
      <c r="N4" s="597" t="s">
        <v>6</v>
      </c>
      <c r="O4" s="599" t="s">
        <v>110</v>
      </c>
      <c r="P4" s="599" t="s">
        <v>111</v>
      </c>
      <c r="Q4" s="599" t="s">
        <v>112</v>
      </c>
      <c r="R4" s="599" t="s">
        <v>113</v>
      </c>
      <c r="S4" s="599" t="s">
        <v>114</v>
      </c>
      <c r="T4" s="600" t="s">
        <v>308</v>
      </c>
      <c r="U4" s="600" t="s">
        <v>224</v>
      </c>
      <c r="V4" s="600" t="s">
        <v>164</v>
      </c>
      <c r="X4"/>
    </row>
    <row r="5" spans="1:24" s="204" customFormat="1" ht="15.6">
      <c r="A5" s="601" t="s">
        <v>309</v>
      </c>
      <c r="B5" s="1084" t="s">
        <v>310</v>
      </c>
      <c r="C5" s="602">
        <f>Trips!D7+Trips!D8+Trips!D9</f>
        <v>3737</v>
      </c>
      <c r="D5" s="602">
        <f>Trips!K7+Trips!K8+Trips!K9</f>
        <v>3740</v>
      </c>
      <c r="E5" s="602">
        <f>Trips!R7+Trips!R8+Trips!R9</f>
        <v>3601</v>
      </c>
      <c r="F5" s="602">
        <f>Trips!Y7+Trips!Y8+Trips!Y9</f>
        <v>3922</v>
      </c>
      <c r="G5" s="602">
        <f>Trips!AF7+Trips!AF8+Trips!AF9</f>
        <v>3267</v>
      </c>
      <c r="H5" s="602">
        <f>Trips!AM7+Trips!AM8+Trips!AM9</f>
        <v>3357</v>
      </c>
      <c r="I5" s="602">
        <f>Trips!AT7+Trips!AT8+Trips!AT9</f>
        <v>0</v>
      </c>
      <c r="J5" s="602">
        <f>Trips!BA7+Trips!BA8+Trips!BA9</f>
        <v>0</v>
      </c>
      <c r="K5" s="602">
        <f>Trips!BH7+Trips!BH8+Trips!BH9</f>
        <v>0</v>
      </c>
      <c r="L5" s="602">
        <f>Trips!BO7+Trips!BO8+Trips!BO9</f>
        <v>0</v>
      </c>
      <c r="M5" s="602">
        <f>Trips!BV7+Trips!BV8+Trips!BV9</f>
        <v>0</v>
      </c>
      <c r="N5" s="602">
        <f>Trips!CC7+Trips!CC8+Trips!CC9</f>
        <v>0</v>
      </c>
      <c r="O5" s="602">
        <f t="shared" ref="O5:O17" si="0">C5+D5+E5</f>
        <v>11078</v>
      </c>
      <c r="P5" s="602">
        <f>F5+G5+H5</f>
        <v>10546</v>
      </c>
      <c r="Q5" s="602">
        <f t="shared" ref="Q5:Q17" si="1">I5+J5+K5</f>
        <v>0</v>
      </c>
      <c r="R5" s="602">
        <f t="shared" ref="R5:R17" si="2">L5+M5+N5</f>
        <v>0</v>
      </c>
      <c r="S5" s="603">
        <f t="shared" ref="S5:S17" si="3">SUM(O5:R5)</f>
        <v>21624</v>
      </c>
      <c r="T5" s="604">
        <v>32506</v>
      </c>
      <c r="U5" s="605">
        <f>S5-T5</f>
        <v>-10882</v>
      </c>
      <c r="V5" s="606">
        <f t="shared" ref="V5:V10" si="4">U5/T5</f>
        <v>-0.33476896572940379</v>
      </c>
      <c r="X5"/>
    </row>
    <row r="6" spans="1:24" s="204" customFormat="1" ht="15.6">
      <c r="A6" s="601" t="s">
        <v>204</v>
      </c>
      <c r="B6" s="1084"/>
      <c r="C6" s="602">
        <f>'7-ADA Monthly Service Rpt ART'!C39-C5</f>
        <v>330</v>
      </c>
      <c r="D6" s="602">
        <f>'7-ADA Monthly Service Rpt ART'!D39-D5</f>
        <v>251</v>
      </c>
      <c r="E6" s="602">
        <f>'7-ADA Monthly Service Rpt ART'!E39-E5</f>
        <v>214</v>
      </c>
      <c r="F6" s="602">
        <f>'7-ADA Monthly Service Rpt ART'!F39-F5</f>
        <v>268</v>
      </c>
      <c r="G6" s="602">
        <f>'7-ADA Monthly Service Rpt ART'!G39-G5</f>
        <v>156</v>
      </c>
      <c r="H6" s="602">
        <f>'7-ADA Monthly Service Rpt ART'!H39-H5</f>
        <v>259</v>
      </c>
      <c r="I6" s="602">
        <f>'7-ADA Monthly Service Rpt ART'!I39-I5</f>
        <v>0</v>
      </c>
      <c r="J6" s="602">
        <f>'7-ADA Monthly Service Rpt ART'!J39-J5</f>
        <v>0</v>
      </c>
      <c r="K6" s="602">
        <f>'7-ADA Monthly Service Rpt ART'!K39-K5</f>
        <v>0</v>
      </c>
      <c r="L6" s="602">
        <f>'7-ADA Monthly Service Rpt ART'!L39-L5</f>
        <v>0</v>
      </c>
      <c r="M6" s="602">
        <f>'7-ADA Monthly Service Rpt ART'!M39-M5</f>
        <v>0</v>
      </c>
      <c r="N6" s="602">
        <f>'7-ADA Monthly Service Rpt ART'!N39-N5</f>
        <v>0</v>
      </c>
      <c r="O6" s="602">
        <f t="shared" si="0"/>
        <v>795</v>
      </c>
      <c r="P6" s="602">
        <f>D6+E6+F6</f>
        <v>733</v>
      </c>
      <c r="Q6" s="602">
        <f t="shared" si="1"/>
        <v>0</v>
      </c>
      <c r="R6" s="602">
        <f t="shared" si="2"/>
        <v>0</v>
      </c>
      <c r="S6" s="603">
        <f t="shared" si="3"/>
        <v>1528</v>
      </c>
      <c r="T6" s="604">
        <v>2293</v>
      </c>
      <c r="U6" s="605">
        <f>S6-T6</f>
        <v>-765</v>
      </c>
      <c r="V6" s="606">
        <f t="shared" si="4"/>
        <v>-0.33362407326646315</v>
      </c>
      <c r="X6"/>
    </row>
    <row r="7" spans="1:24" s="204" customFormat="1" ht="15.6">
      <c r="A7" s="601" t="s">
        <v>115</v>
      </c>
      <c r="B7" s="1084"/>
      <c r="C7" s="602">
        <f t="shared" ref="C7:N7" si="5">C5+C6</f>
        <v>4067</v>
      </c>
      <c r="D7" s="602">
        <f t="shared" si="5"/>
        <v>3991</v>
      </c>
      <c r="E7" s="602">
        <f t="shared" si="5"/>
        <v>3815</v>
      </c>
      <c r="F7" s="602">
        <f t="shared" si="5"/>
        <v>4190</v>
      </c>
      <c r="G7" s="602">
        <f t="shared" si="5"/>
        <v>3423</v>
      </c>
      <c r="H7" s="602">
        <f t="shared" si="5"/>
        <v>3616</v>
      </c>
      <c r="I7" s="602">
        <f t="shared" si="5"/>
        <v>0</v>
      </c>
      <c r="J7" s="602">
        <f t="shared" si="5"/>
        <v>0</v>
      </c>
      <c r="K7" s="602">
        <f t="shared" si="5"/>
        <v>0</v>
      </c>
      <c r="L7" s="602">
        <f t="shared" si="5"/>
        <v>0</v>
      </c>
      <c r="M7" s="602">
        <f t="shared" si="5"/>
        <v>0</v>
      </c>
      <c r="N7" s="602">
        <f t="shared" si="5"/>
        <v>0</v>
      </c>
      <c r="O7" s="602">
        <f t="shared" si="0"/>
        <v>11873</v>
      </c>
      <c r="P7" s="602">
        <f>D7+E7+F7</f>
        <v>11996</v>
      </c>
      <c r="Q7" s="602">
        <f t="shared" si="1"/>
        <v>0</v>
      </c>
      <c r="R7" s="602">
        <f t="shared" si="2"/>
        <v>0</v>
      </c>
      <c r="S7" s="603">
        <f t="shared" si="3"/>
        <v>23869</v>
      </c>
      <c r="T7" s="604">
        <v>35342</v>
      </c>
      <c r="U7" s="605">
        <f>U5+U6</f>
        <v>-11647</v>
      </c>
      <c r="V7" s="606">
        <f t="shared" si="4"/>
        <v>-0.32955124214815235</v>
      </c>
      <c r="X7"/>
    </row>
    <row r="8" spans="1:24" s="204" customFormat="1" ht="15.6">
      <c r="A8" s="601" t="s">
        <v>44</v>
      </c>
      <c r="B8" s="607"/>
      <c r="C8" s="602">
        <f>Trips!G7+Trips!G8</f>
        <v>141</v>
      </c>
      <c r="D8" s="602">
        <f>Trips!N7+Trips!N8</f>
        <v>130</v>
      </c>
      <c r="E8" s="602">
        <f>Trips!U7+Trips!U8</f>
        <v>123</v>
      </c>
      <c r="F8" s="602">
        <f>Trips!AB7+Trips!AB8</f>
        <v>129</v>
      </c>
      <c r="G8" s="602">
        <f>Trips!AI7+Trips!AI8</f>
        <v>111</v>
      </c>
      <c r="H8" s="602">
        <f>Trips!AP7+Trips!AP8</f>
        <v>106</v>
      </c>
      <c r="I8" s="602">
        <f>Trips!AW7+Trips!AW8</f>
        <v>0</v>
      </c>
      <c r="J8" s="602">
        <f>Trips!BD7+Trips!BD8</f>
        <v>0</v>
      </c>
      <c r="K8" s="602">
        <f>Trips!BK7+Trips!BK8</f>
        <v>0</v>
      </c>
      <c r="L8" s="602">
        <f>Trips!BR7+Trips!BR8</f>
        <v>0</v>
      </c>
      <c r="M8" s="602">
        <f>Trips!BY7+Trips!BY8</f>
        <v>0</v>
      </c>
      <c r="N8" s="602">
        <f>Trips!CF7+Trips!CF8</f>
        <v>0</v>
      </c>
      <c r="O8" s="602">
        <f t="shared" si="0"/>
        <v>394</v>
      </c>
      <c r="P8" s="602">
        <f t="shared" ref="P8:P17" si="6">F8+G8+H8</f>
        <v>346</v>
      </c>
      <c r="Q8" s="602">
        <f t="shared" si="1"/>
        <v>0</v>
      </c>
      <c r="R8" s="602">
        <f t="shared" si="2"/>
        <v>0</v>
      </c>
      <c r="S8" s="603">
        <f t="shared" si="3"/>
        <v>740</v>
      </c>
      <c r="T8" s="604">
        <v>1010</v>
      </c>
      <c r="U8" s="605">
        <f>S8-T8</f>
        <v>-270</v>
      </c>
      <c r="V8" s="608">
        <f t="shared" si="4"/>
        <v>-0.26732673267326734</v>
      </c>
      <c r="X8"/>
    </row>
    <row r="9" spans="1:24" s="204" customFormat="1" ht="15.6">
      <c r="A9" s="601" t="s">
        <v>42</v>
      </c>
      <c r="B9" s="607"/>
      <c r="C9" s="609">
        <f>Miles!C7+Miles!C8+Miles!C9</f>
        <v>41916.39</v>
      </c>
      <c r="D9" s="609">
        <f>Miles!D7+Miles!D8+Miles!D9</f>
        <v>41236.67</v>
      </c>
      <c r="E9" s="609">
        <f>Miles!E7+Miles!E8+Miles!E9</f>
        <v>39283.51</v>
      </c>
      <c r="F9" s="609">
        <f>Miles!F7+Miles!F8+Miles!F9</f>
        <v>41746</v>
      </c>
      <c r="G9" s="609">
        <f>Miles!G7+Miles!G8+Miles!G9</f>
        <v>35546.329999999994</v>
      </c>
      <c r="H9" s="609">
        <f>Miles!H7+Miles!H8+Miles!H9</f>
        <v>34972.630000000005</v>
      </c>
      <c r="I9" s="609">
        <f>Miles!I7+Miles!I8+Miles!I9</f>
        <v>0</v>
      </c>
      <c r="J9" s="609">
        <f>Miles!J7+Miles!J8+Miles!J9</f>
        <v>0</v>
      </c>
      <c r="K9" s="609">
        <f>Miles!K7+Miles!K8+Miles!K9</f>
        <v>0</v>
      </c>
      <c r="L9" s="609">
        <f>Miles!L7+Miles!L8+Miles!L9</f>
        <v>0</v>
      </c>
      <c r="M9" s="609">
        <f>Miles!M7+Miles!M8+Miles!M9</f>
        <v>0</v>
      </c>
      <c r="N9" s="609">
        <f>Miles!N7+Miles!N8+Miles!N9</f>
        <v>0</v>
      </c>
      <c r="O9" s="609">
        <f t="shared" si="0"/>
        <v>122436.57</v>
      </c>
      <c r="P9" s="609">
        <f t="shared" si="6"/>
        <v>112264.95999999999</v>
      </c>
      <c r="Q9" s="609">
        <f t="shared" si="1"/>
        <v>0</v>
      </c>
      <c r="R9" s="609">
        <f t="shared" si="2"/>
        <v>0</v>
      </c>
      <c r="S9" s="603">
        <f t="shared" si="3"/>
        <v>234701.53</v>
      </c>
      <c r="T9" s="604">
        <v>329821.67</v>
      </c>
      <c r="U9" s="605">
        <f>S9-T9</f>
        <v>-95120.139999999985</v>
      </c>
      <c r="V9" s="608">
        <f t="shared" si="4"/>
        <v>-0.28839869739304874</v>
      </c>
      <c r="X9"/>
    </row>
    <row r="10" spans="1:24" s="204" customFormat="1" ht="15.6">
      <c r="A10" s="610" t="s">
        <v>311</v>
      </c>
      <c r="B10" s="611"/>
      <c r="C10" s="612">
        <f>'3-Costs'!E16</f>
        <v>75180.63</v>
      </c>
      <c r="D10" s="612">
        <f>'3-Costs'!I16</f>
        <v>74813.05</v>
      </c>
      <c r="E10" s="612">
        <f>'3-Costs'!M16</f>
        <v>69527.960000000006</v>
      </c>
      <c r="F10" s="612">
        <f>'3-Costs'!Q16</f>
        <v>76199.08</v>
      </c>
      <c r="G10" s="612">
        <f>'3-Costs'!U16</f>
        <v>64089.85</v>
      </c>
      <c r="H10" s="612">
        <f>'3-Costs'!Y16</f>
        <v>63468.77</v>
      </c>
      <c r="I10" s="612">
        <f>'3-Costs'!AC16</f>
        <v>0</v>
      </c>
      <c r="J10" s="612">
        <f>'3-Costs'!AG16</f>
        <v>0</v>
      </c>
      <c r="K10" s="612">
        <f>'3-Costs'!AK16</f>
        <v>0</v>
      </c>
      <c r="L10" s="612">
        <f>'3-Costs'!AO16</f>
        <v>0</v>
      </c>
      <c r="M10" s="612">
        <f>'3-Costs'!AS16</f>
        <v>0</v>
      </c>
      <c r="N10" s="612">
        <f>'3-Costs'!AW16</f>
        <v>0</v>
      </c>
      <c r="O10" s="612">
        <f t="shared" si="0"/>
        <v>219521.64</v>
      </c>
      <c r="P10" s="612">
        <f t="shared" si="6"/>
        <v>203757.69999999998</v>
      </c>
      <c r="Q10" s="612">
        <f t="shared" si="1"/>
        <v>0</v>
      </c>
      <c r="R10" s="612">
        <f t="shared" si="2"/>
        <v>0</v>
      </c>
      <c r="S10" s="613">
        <f t="shared" si="3"/>
        <v>423279.33999999997</v>
      </c>
      <c r="T10" s="614">
        <v>414795.57</v>
      </c>
      <c r="U10" s="615">
        <f>S10-T10</f>
        <v>8483.7699999999604</v>
      </c>
      <c r="V10" s="608">
        <f t="shared" si="4"/>
        <v>2.045289442218479E-2</v>
      </c>
      <c r="X10"/>
    </row>
    <row r="11" spans="1:24" s="204" customFormat="1" ht="15.6">
      <c r="A11" s="610" t="s">
        <v>312</v>
      </c>
      <c r="B11" s="611"/>
      <c r="C11" s="612">
        <f>'3-Costs'!E17+'3-Costs'!E18</f>
        <v>11039.24</v>
      </c>
      <c r="D11" s="612">
        <f>'3-Costs'!I17+'3-Costs'!I18</f>
        <v>9086.16</v>
      </c>
      <c r="E11" s="612">
        <f>'3-Costs'!M17+'3-Costs'!M18</f>
        <v>12284.119999999999</v>
      </c>
      <c r="F11" s="612">
        <f>'3-Costs'!Q17+'3-Costs'!Q18</f>
        <v>8235.92</v>
      </c>
      <c r="G11" s="612">
        <f>'3-Costs'!U17+'3-Costs'!U18</f>
        <v>8664.7999999999993</v>
      </c>
      <c r="H11" s="612">
        <f>'3-Costs'!Y17+'3-Costs'!Y18</f>
        <v>7663.92</v>
      </c>
      <c r="I11" s="612">
        <f>'3-Costs'!AC17+'3-Costs'!AC18</f>
        <v>0</v>
      </c>
      <c r="J11" s="612">
        <f>'3-Costs'!AG17+'3-Costs'!AG18</f>
        <v>0</v>
      </c>
      <c r="K11" s="612">
        <f>'3-Costs'!AK17+'3-Costs'!AK18</f>
        <v>0</v>
      </c>
      <c r="L11" s="612">
        <f>'3-Costs'!AO17+'3-Costs'!AO18</f>
        <v>0</v>
      </c>
      <c r="M11" s="612">
        <f>'3-Costs'!AS17+'3-Costs'!AS18</f>
        <v>0</v>
      </c>
      <c r="N11" s="612">
        <f>'3-Costs'!AW17+'3-Costs'!AW18</f>
        <v>0</v>
      </c>
      <c r="O11" s="612">
        <f t="shared" si="0"/>
        <v>32409.52</v>
      </c>
      <c r="P11" s="612">
        <f t="shared" si="6"/>
        <v>24564.639999999999</v>
      </c>
      <c r="Q11" s="612">
        <f t="shared" si="1"/>
        <v>0</v>
      </c>
      <c r="R11" s="612">
        <f t="shared" si="2"/>
        <v>0</v>
      </c>
      <c r="S11" s="613">
        <f t="shared" si="3"/>
        <v>56974.16</v>
      </c>
      <c r="T11" s="614">
        <v>42992.639999999999</v>
      </c>
      <c r="U11" s="615">
        <f>S11-T11</f>
        <v>13981.520000000004</v>
      </c>
      <c r="V11" s="608">
        <v>1</v>
      </c>
      <c r="X11"/>
    </row>
    <row r="12" spans="1:24" s="204" customFormat="1" ht="15.6">
      <c r="A12" s="616" t="s">
        <v>313</v>
      </c>
      <c r="B12" s="611"/>
      <c r="C12" s="613">
        <f t="shared" ref="C12:N12" si="7">C10+C11</f>
        <v>86219.87000000001</v>
      </c>
      <c r="D12" s="613">
        <f t="shared" si="7"/>
        <v>83899.21</v>
      </c>
      <c r="E12" s="613">
        <f t="shared" si="7"/>
        <v>81812.08</v>
      </c>
      <c r="F12" s="613">
        <f t="shared" si="7"/>
        <v>84435</v>
      </c>
      <c r="G12" s="613">
        <f t="shared" si="7"/>
        <v>72754.649999999994</v>
      </c>
      <c r="H12" s="613">
        <f t="shared" si="7"/>
        <v>71132.69</v>
      </c>
      <c r="I12" s="613">
        <f t="shared" si="7"/>
        <v>0</v>
      </c>
      <c r="J12" s="613">
        <f t="shared" si="7"/>
        <v>0</v>
      </c>
      <c r="K12" s="613">
        <f t="shared" si="7"/>
        <v>0</v>
      </c>
      <c r="L12" s="613">
        <f t="shared" si="7"/>
        <v>0</v>
      </c>
      <c r="M12" s="613">
        <f t="shared" si="7"/>
        <v>0</v>
      </c>
      <c r="N12" s="613">
        <f t="shared" si="7"/>
        <v>0</v>
      </c>
      <c r="O12" s="617">
        <f t="shared" si="0"/>
        <v>251931.16000000003</v>
      </c>
      <c r="P12" s="617">
        <f t="shared" si="6"/>
        <v>228322.34</v>
      </c>
      <c r="Q12" s="617">
        <f t="shared" si="1"/>
        <v>0</v>
      </c>
      <c r="R12" s="617">
        <f t="shared" si="2"/>
        <v>0</v>
      </c>
      <c r="S12" s="613">
        <f t="shared" si="3"/>
        <v>480253.5</v>
      </c>
      <c r="T12" s="614">
        <v>457788.20999999996</v>
      </c>
      <c r="U12" s="615">
        <f>S12-T12</f>
        <v>22465.290000000037</v>
      </c>
      <c r="V12" s="608">
        <f t="shared" ref="V12:V17" si="8">U12/T12</f>
        <v>4.9073544292457943E-2</v>
      </c>
      <c r="X12"/>
    </row>
    <row r="13" spans="1:24" s="204" customFormat="1" ht="15.6">
      <c r="A13" s="610" t="s">
        <v>349</v>
      </c>
      <c r="B13" s="611"/>
      <c r="C13" s="618">
        <f>'3-Costs'!F16+'3-Costs'!F17+'3-Costs'!F18</f>
        <v>-7474</v>
      </c>
      <c r="D13" s="618">
        <f>'3-Costs'!J16+'3-Costs'!J17+'3-Costs'!J18</f>
        <v>-7480</v>
      </c>
      <c r="E13" s="618">
        <f>'3-Costs'!N16+'3-Costs'!N17+'3-Costs'!N18</f>
        <v>-7202</v>
      </c>
      <c r="F13" s="618">
        <f>'3-Costs'!R16+'3-Costs'!R17+'3-Costs'!R18</f>
        <v>-7844</v>
      </c>
      <c r="G13" s="612">
        <f>'3-Costs'!V16+'3-Costs'!V17+'3-Costs'!V18</f>
        <v>-5940</v>
      </c>
      <c r="H13" s="618">
        <f>'3-Costs'!Z16+'3-Costs'!Z17+'3-Costs'!Z18</f>
        <v>-6714</v>
      </c>
      <c r="I13" s="618">
        <f>'3-Costs'!AD16+'3-Costs'!AD17+'3-Costs'!AD18</f>
        <v>0</v>
      </c>
      <c r="J13" s="618">
        <f>'3-Costs'!AH16+'3-Costs'!AH17+'3-Costs'!AH18</f>
        <v>0</v>
      </c>
      <c r="K13" s="618">
        <f>'3-Costs'!AL16+'3-Costs'!AL17+'3-Costs'!AL18</f>
        <v>0</v>
      </c>
      <c r="L13" s="618">
        <f>'3-Costs'!AP16+'3-Costs'!AP17+'3-Costs'!AP18</f>
        <v>0</v>
      </c>
      <c r="M13" s="618">
        <f>'3-Costs'!AT16+'3-Costs'!AT17+'3-Costs'!AT18</f>
        <v>0</v>
      </c>
      <c r="N13" s="618">
        <f>'3-Costs'!AX16+'3-Costs'!AX17+'3-Costs'!AX18</f>
        <v>0</v>
      </c>
      <c r="O13" s="618">
        <f t="shared" si="0"/>
        <v>-22156</v>
      </c>
      <c r="P13" s="618">
        <f t="shared" si="6"/>
        <v>-20498</v>
      </c>
      <c r="Q13" s="618">
        <f t="shared" si="1"/>
        <v>0</v>
      </c>
      <c r="R13" s="618">
        <f t="shared" si="2"/>
        <v>0</v>
      </c>
      <c r="S13" s="613">
        <f t="shared" si="3"/>
        <v>-42654</v>
      </c>
      <c r="T13" s="619">
        <v>-64522</v>
      </c>
      <c r="U13" s="620">
        <v>-54568</v>
      </c>
      <c r="V13" s="608">
        <f t="shared" si="8"/>
        <v>0.84572703883946565</v>
      </c>
      <c r="X13"/>
    </row>
    <row r="14" spans="1:24" s="204" customFormat="1" ht="15.6">
      <c r="A14" s="616" t="s">
        <v>314</v>
      </c>
      <c r="B14" s="607"/>
      <c r="C14" s="613">
        <f t="shared" ref="C14:N14" si="9">C12+C13</f>
        <v>78745.87000000001</v>
      </c>
      <c r="D14" s="613">
        <f t="shared" si="9"/>
        <v>76419.210000000006</v>
      </c>
      <c r="E14" s="613">
        <f t="shared" si="9"/>
        <v>74610.080000000002</v>
      </c>
      <c r="F14" s="613">
        <f t="shared" si="9"/>
        <v>76591</v>
      </c>
      <c r="G14" s="613">
        <f t="shared" si="9"/>
        <v>66814.649999999994</v>
      </c>
      <c r="H14" s="613">
        <f t="shared" si="9"/>
        <v>64418.69</v>
      </c>
      <c r="I14" s="613">
        <f t="shared" si="9"/>
        <v>0</v>
      </c>
      <c r="J14" s="613">
        <f t="shared" si="9"/>
        <v>0</v>
      </c>
      <c r="K14" s="613">
        <f t="shared" si="9"/>
        <v>0</v>
      </c>
      <c r="L14" s="613">
        <f t="shared" si="9"/>
        <v>0</v>
      </c>
      <c r="M14" s="613">
        <f t="shared" si="9"/>
        <v>0</v>
      </c>
      <c r="N14" s="613">
        <f t="shared" si="9"/>
        <v>0</v>
      </c>
      <c r="O14" s="613">
        <f t="shared" si="0"/>
        <v>229775.16000000003</v>
      </c>
      <c r="P14" s="613">
        <f t="shared" si="6"/>
        <v>207824.34</v>
      </c>
      <c r="Q14" s="613">
        <f t="shared" si="1"/>
        <v>0</v>
      </c>
      <c r="R14" s="613">
        <f t="shared" si="2"/>
        <v>0</v>
      </c>
      <c r="S14" s="613">
        <f t="shared" si="3"/>
        <v>437599.5</v>
      </c>
      <c r="T14" s="614">
        <v>393266.20999999996</v>
      </c>
      <c r="U14" s="615">
        <f>S14-T14</f>
        <v>44333.290000000037</v>
      </c>
      <c r="V14" s="608">
        <f t="shared" si="8"/>
        <v>0.11273099206768881</v>
      </c>
      <c r="X14"/>
    </row>
    <row r="15" spans="1:24" s="204" customFormat="1" ht="15.6">
      <c r="A15" s="616" t="s">
        <v>315</v>
      </c>
      <c r="B15" s="607"/>
      <c r="C15" s="621">
        <f>'3a-Admin Surcharges'!E12</f>
        <v>8621.99</v>
      </c>
      <c r="D15" s="621">
        <f>'3a-Admin Surcharges'!F12</f>
        <v>8389.92</v>
      </c>
      <c r="E15" s="621">
        <f>'3a-Admin Surcharges'!G12</f>
        <v>8181.21</v>
      </c>
      <c r="F15" s="621">
        <f>'3a-Admin Surcharges'!H12</f>
        <v>8443.5</v>
      </c>
      <c r="G15" s="621">
        <f>'3a-Admin Surcharges'!I12</f>
        <v>7275.47</v>
      </c>
      <c r="H15" s="621">
        <f>'3a-Admin Surcharges'!J12</f>
        <v>7113.27</v>
      </c>
      <c r="I15" s="621">
        <f>'3a-Admin Surcharges'!K12</f>
        <v>0</v>
      </c>
      <c r="J15" s="621">
        <f>'3a-Admin Surcharges'!L12</f>
        <v>0</v>
      </c>
      <c r="K15" s="621">
        <f>'3a-Admin Surcharges'!M12</f>
        <v>0</v>
      </c>
      <c r="L15" s="621">
        <f>'3a-Admin Surcharges'!N12</f>
        <v>0</v>
      </c>
      <c r="M15" s="621">
        <f>'3a-Admin Surcharges'!O12</f>
        <v>0</v>
      </c>
      <c r="N15" s="621">
        <f>'3a-Admin Surcharges'!P12</f>
        <v>0</v>
      </c>
      <c r="O15" s="613">
        <f t="shared" si="0"/>
        <v>25193.119999999999</v>
      </c>
      <c r="P15" s="613">
        <f t="shared" si="6"/>
        <v>22832.240000000002</v>
      </c>
      <c r="Q15" s="613">
        <f t="shared" si="1"/>
        <v>0</v>
      </c>
      <c r="R15" s="613">
        <f t="shared" si="2"/>
        <v>0</v>
      </c>
      <c r="S15" s="613">
        <f t="shared" si="3"/>
        <v>48025.36</v>
      </c>
      <c r="T15" s="614">
        <v>45778.92</v>
      </c>
      <c r="U15" s="615">
        <f>S15-T15</f>
        <v>2246.4400000000023</v>
      </c>
      <c r="V15" s="608">
        <f t="shared" si="8"/>
        <v>4.9071494041362324E-2</v>
      </c>
      <c r="X15"/>
    </row>
    <row r="16" spans="1:24" s="244" customFormat="1" ht="15.6">
      <c r="A16" s="622" t="s">
        <v>316</v>
      </c>
      <c r="B16" s="623"/>
      <c r="C16" s="624">
        <f t="shared" ref="C16:N16" si="10">C14+C15</f>
        <v>87367.860000000015</v>
      </c>
      <c r="D16" s="624">
        <f t="shared" si="10"/>
        <v>84809.13</v>
      </c>
      <c r="E16" s="624">
        <f t="shared" si="10"/>
        <v>82791.290000000008</v>
      </c>
      <c r="F16" s="624">
        <f t="shared" si="10"/>
        <v>85034.5</v>
      </c>
      <c r="G16" s="625">
        <f t="shared" si="10"/>
        <v>74090.12</v>
      </c>
      <c r="H16" s="624">
        <f t="shared" si="10"/>
        <v>71531.960000000006</v>
      </c>
      <c r="I16" s="625">
        <f t="shared" si="10"/>
        <v>0</v>
      </c>
      <c r="J16" s="624">
        <f t="shared" si="10"/>
        <v>0</v>
      </c>
      <c r="K16" s="624">
        <f t="shared" si="10"/>
        <v>0</v>
      </c>
      <c r="L16" s="624">
        <f t="shared" si="10"/>
        <v>0</v>
      </c>
      <c r="M16" s="624">
        <f t="shared" si="10"/>
        <v>0</v>
      </c>
      <c r="N16" s="624">
        <f t="shared" si="10"/>
        <v>0</v>
      </c>
      <c r="O16" s="624">
        <f t="shared" si="0"/>
        <v>254968.28000000003</v>
      </c>
      <c r="P16" s="624">
        <f t="shared" si="6"/>
        <v>230656.58000000002</v>
      </c>
      <c r="Q16" s="624">
        <f t="shared" si="1"/>
        <v>0</v>
      </c>
      <c r="R16" s="624">
        <f t="shared" si="2"/>
        <v>0</v>
      </c>
      <c r="S16" s="625">
        <f t="shared" si="3"/>
        <v>485624.86000000004</v>
      </c>
      <c r="T16" s="614">
        <v>439045.13</v>
      </c>
      <c r="U16" s="615">
        <f>S16-T16</f>
        <v>46579.73000000004</v>
      </c>
      <c r="V16" s="608">
        <f t="shared" si="8"/>
        <v>0.10609326198425215</v>
      </c>
      <c r="X16" s="296"/>
    </row>
    <row r="17" spans="1:24" s="204" customFormat="1" ht="15.6">
      <c r="A17" s="626" t="s">
        <v>317</v>
      </c>
      <c r="B17" s="627"/>
      <c r="C17" s="628">
        <f t="shared" ref="C17:N17" si="11">C12+C15</f>
        <v>94841.860000000015</v>
      </c>
      <c r="D17" s="628">
        <f t="shared" si="11"/>
        <v>92289.13</v>
      </c>
      <c r="E17" s="628">
        <f t="shared" si="11"/>
        <v>89993.290000000008</v>
      </c>
      <c r="F17" s="628">
        <f t="shared" si="11"/>
        <v>92878.5</v>
      </c>
      <c r="G17" s="628">
        <f t="shared" si="11"/>
        <v>80030.12</v>
      </c>
      <c r="H17" s="628">
        <f t="shared" si="11"/>
        <v>78245.960000000006</v>
      </c>
      <c r="I17" s="628">
        <f t="shared" si="11"/>
        <v>0</v>
      </c>
      <c r="J17" s="628">
        <f t="shared" si="11"/>
        <v>0</v>
      </c>
      <c r="K17" s="628">
        <f t="shared" si="11"/>
        <v>0</v>
      </c>
      <c r="L17" s="628">
        <f t="shared" si="11"/>
        <v>0</v>
      </c>
      <c r="M17" s="628">
        <f t="shared" si="11"/>
        <v>0</v>
      </c>
      <c r="N17" s="628">
        <f t="shared" si="11"/>
        <v>0</v>
      </c>
      <c r="O17" s="628">
        <f t="shared" si="0"/>
        <v>277124.28000000003</v>
      </c>
      <c r="P17" s="628">
        <f t="shared" si="6"/>
        <v>251154.58000000002</v>
      </c>
      <c r="Q17" s="628">
        <f t="shared" si="1"/>
        <v>0</v>
      </c>
      <c r="R17" s="628">
        <f t="shared" si="2"/>
        <v>0</v>
      </c>
      <c r="S17" s="629">
        <f t="shared" si="3"/>
        <v>528278.8600000001</v>
      </c>
      <c r="T17" s="630">
        <v>503567.13</v>
      </c>
      <c r="U17" s="631">
        <f>S17-T17</f>
        <v>24711.730000000098</v>
      </c>
      <c r="V17" s="632">
        <f t="shared" si="8"/>
        <v>4.907335790562839E-2</v>
      </c>
      <c r="X17"/>
    </row>
    <row r="18" spans="1:24" s="244" customFormat="1" ht="15.6">
      <c r="A18" s="633" t="s">
        <v>319</v>
      </c>
      <c r="B18" s="634"/>
      <c r="C18" s="635"/>
      <c r="D18" s="635"/>
      <c r="E18" s="635"/>
      <c r="F18" s="635"/>
      <c r="G18" s="635"/>
      <c r="H18" s="635"/>
      <c r="I18" s="635"/>
      <c r="J18" s="635"/>
      <c r="K18" s="635"/>
      <c r="L18" s="635"/>
      <c r="M18" s="635"/>
      <c r="N18" s="635"/>
      <c r="O18" s="635"/>
      <c r="P18" s="635"/>
      <c r="Q18" s="635"/>
      <c r="R18" s="635"/>
      <c r="S18" s="636">
        <v>0</v>
      </c>
      <c r="T18" s="637"/>
      <c r="U18" s="638"/>
      <c r="V18" s="639"/>
      <c r="X18"/>
    </row>
    <row r="19" spans="1:24" s="204" customFormat="1" ht="15.6">
      <c r="A19" s="640" t="s">
        <v>326</v>
      </c>
      <c r="B19" s="627"/>
      <c r="C19" s="641"/>
      <c r="D19" s="641"/>
      <c r="E19" s="641"/>
      <c r="F19" s="641"/>
      <c r="G19" s="641"/>
      <c r="H19" s="641"/>
      <c r="I19" s="641"/>
      <c r="J19" s="641"/>
      <c r="K19" s="641"/>
      <c r="L19" s="641"/>
      <c r="M19" s="641"/>
      <c r="N19" s="641"/>
      <c r="O19" s="641"/>
      <c r="P19" s="641"/>
      <c r="Q19" s="641"/>
      <c r="R19" s="641"/>
      <c r="S19" s="642">
        <f>S17+S18</f>
        <v>528278.8600000001</v>
      </c>
      <c r="T19" s="643"/>
      <c r="U19" s="644"/>
      <c r="V19" s="645"/>
      <c r="X19"/>
    </row>
    <row r="20" spans="1:24" s="204" customFormat="1">
      <c r="A20" s="236"/>
      <c r="C20" s="237"/>
      <c r="D20" s="237"/>
      <c r="E20" s="237"/>
      <c r="F20" s="237"/>
      <c r="G20" s="237"/>
      <c r="H20" s="237"/>
      <c r="I20" s="237"/>
      <c r="J20" s="237"/>
      <c r="K20" s="237"/>
      <c r="L20" s="237"/>
      <c r="M20" s="237"/>
      <c r="N20" s="237"/>
      <c r="O20" s="237"/>
      <c r="P20" s="237"/>
      <c r="Q20" s="237"/>
      <c r="R20" s="237"/>
      <c r="S20" s="238"/>
      <c r="T20" s="239"/>
      <c r="U20" s="239"/>
      <c r="X20"/>
    </row>
    <row r="21" spans="1:24" s="204" customFormat="1">
      <c r="A21" s="240" t="s">
        <v>318</v>
      </c>
      <c r="S21" s="241"/>
      <c r="T21" s="242"/>
      <c r="U21" s="242"/>
      <c r="X21"/>
    </row>
    <row r="22" spans="1:24">
      <c r="O22" s="2"/>
      <c r="P22" s="2"/>
      <c r="Q22" s="2"/>
      <c r="R22" s="2"/>
      <c r="S22" s="2"/>
      <c r="T22" s="2"/>
    </row>
    <row r="23" spans="1:24" ht="13.95" customHeight="1">
      <c r="A23" s="1028" t="s">
        <v>440</v>
      </c>
      <c r="B23" s="1029"/>
      <c r="C23" s="1029"/>
      <c r="D23" s="1029"/>
      <c r="E23" s="1029"/>
      <c r="F23" s="1029"/>
      <c r="G23" s="1029"/>
      <c r="H23" s="1029"/>
      <c r="I23" s="1029"/>
      <c r="J23" s="1029"/>
      <c r="K23" s="1029"/>
      <c r="L23" s="1029"/>
      <c r="M23" s="1029"/>
      <c r="N23" s="1029"/>
      <c r="O23" s="1029"/>
      <c r="P23" s="1029"/>
      <c r="Q23" s="1029"/>
      <c r="R23" s="1029"/>
      <c r="S23" s="1029"/>
      <c r="T23" s="1029"/>
      <c r="U23" s="1029"/>
      <c r="V23" s="1029"/>
    </row>
  </sheetData>
  <mergeCells count="3">
    <mergeCell ref="A2:V2"/>
    <mergeCell ref="B5:B7"/>
    <mergeCell ref="A23:V23"/>
  </mergeCells>
  <pageMargins left="0.7" right="0.7" top="0.75" bottom="0.75" header="0.3" footer="0.3"/>
  <pageSetup scale="44" orientation="portrait" r:id="rId1"/>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legacy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90"/>
  <sheetViews>
    <sheetView zoomScale="80" zoomScaleNormal="80" workbookViewId="0">
      <selection activeCell="V45" sqref="V45"/>
    </sheetView>
  </sheetViews>
  <sheetFormatPr defaultColWidth="9.109375" defaultRowHeight="13.2"/>
  <cols>
    <col min="1" max="1" width="3.44140625" style="394" customWidth="1"/>
    <col min="2" max="2" width="1.6640625" style="371" customWidth="1"/>
    <col min="3" max="3" width="37.88671875" style="371" customWidth="1"/>
    <col min="4" max="5" width="9.6640625" style="371" customWidth="1"/>
    <col min="6" max="6" width="12.33203125" style="371" customWidth="1"/>
    <col min="7" max="7" width="9.6640625" style="371" customWidth="1"/>
    <col min="8" max="8" width="11.44140625" style="371" customWidth="1"/>
    <col min="9" max="9" width="11.5546875" style="371" customWidth="1"/>
    <col min="10" max="10" width="9.6640625" style="371" hidden="1" customWidth="1"/>
    <col min="11" max="11" width="10.33203125" style="371" hidden="1" customWidth="1"/>
    <col min="12" max="15" width="9.6640625" style="371" hidden="1" customWidth="1"/>
    <col min="16" max="17" width="11" style="371" customWidth="1"/>
    <col min="18" max="19" width="11" style="371" hidden="1" customWidth="1"/>
    <col min="20" max="20" width="12.33203125" style="371" bestFit="1" customWidth="1"/>
    <col min="21" max="21" width="3.6640625" style="395" bestFit="1" customWidth="1"/>
    <col min="22" max="16384" width="9.109375" style="371"/>
  </cols>
  <sheetData>
    <row r="1" spans="1:21">
      <c r="A1" s="1030" t="s">
        <v>437</v>
      </c>
      <c r="B1" s="1030"/>
      <c r="C1" s="1030"/>
      <c r="D1" s="1030"/>
      <c r="E1" s="1030"/>
      <c r="F1" s="1030"/>
      <c r="G1" s="1030"/>
      <c r="H1" s="1030"/>
      <c r="I1" s="1030"/>
      <c r="J1" s="1030"/>
      <c r="K1" s="1030"/>
      <c r="L1" s="1030"/>
      <c r="M1" s="1030"/>
      <c r="N1" s="1030"/>
      <c r="O1" s="1030"/>
      <c r="P1" s="1030"/>
      <c r="Q1" s="1030"/>
      <c r="R1" s="1030"/>
      <c r="S1" s="1030"/>
      <c r="T1" s="1030"/>
      <c r="U1" s="1030"/>
    </row>
    <row r="2" spans="1:21" ht="13.8">
      <c r="A2" s="1028" t="s">
        <v>386</v>
      </c>
      <c r="B2" s="1029"/>
      <c r="C2" s="1029"/>
      <c r="D2" s="1029"/>
      <c r="E2" s="1029"/>
      <c r="F2" s="1029"/>
      <c r="G2" s="1029"/>
      <c r="H2" s="1029"/>
      <c r="I2" s="1029"/>
      <c r="J2" s="1029"/>
      <c r="K2" s="1029"/>
      <c r="L2" s="1029"/>
      <c r="M2" s="1029"/>
      <c r="N2" s="1029"/>
      <c r="O2" s="1029"/>
      <c r="P2" s="1029"/>
      <c r="Q2" s="1029"/>
      <c r="R2" s="1029"/>
      <c r="S2" s="1029"/>
      <c r="T2" s="1029"/>
      <c r="U2" s="1029"/>
    </row>
    <row r="3" spans="1:21" ht="13.8" thickBot="1"/>
    <row r="4" spans="1:21" s="353" customFormat="1" ht="25.5" customHeight="1">
      <c r="A4" s="347"/>
      <c r="B4" s="348" t="s">
        <v>436</v>
      </c>
      <c r="C4" s="349"/>
      <c r="D4" s="350"/>
      <c r="E4" s="350"/>
      <c r="F4" s="350"/>
      <c r="G4" s="350"/>
      <c r="H4" s="350"/>
      <c r="I4" s="350"/>
      <c r="J4" s="350"/>
      <c r="K4" s="350"/>
      <c r="L4" s="350"/>
      <c r="M4" s="350"/>
      <c r="N4" s="350"/>
      <c r="O4" s="350"/>
      <c r="P4" s="351"/>
      <c r="Q4" s="351"/>
      <c r="R4" s="351"/>
      <c r="S4" s="351"/>
      <c r="T4" s="349"/>
      <c r="U4" s="352"/>
    </row>
    <row r="5" spans="1:21" s="353" customFormat="1" ht="13.5" customHeight="1">
      <c r="A5" s="354"/>
      <c r="B5" s="355"/>
      <c r="C5" s="356"/>
      <c r="D5" s="357" t="s">
        <v>395</v>
      </c>
      <c r="E5" s="358" t="s">
        <v>396</v>
      </c>
      <c r="F5" s="358" t="s">
        <v>397</v>
      </c>
      <c r="G5" s="358" t="s">
        <v>398</v>
      </c>
      <c r="H5" s="358" t="s">
        <v>399</v>
      </c>
      <c r="I5" s="358" t="s">
        <v>400</v>
      </c>
      <c r="J5" s="358" t="s">
        <v>401</v>
      </c>
      <c r="K5" s="358" t="s">
        <v>402</v>
      </c>
      <c r="L5" s="358" t="s">
        <v>403</v>
      </c>
      <c r="M5" s="358" t="s">
        <v>404</v>
      </c>
      <c r="N5" s="358" t="s">
        <v>405</v>
      </c>
      <c r="O5" s="358" t="s">
        <v>406</v>
      </c>
      <c r="P5" s="359"/>
      <c r="Q5" s="359"/>
      <c r="R5" s="359"/>
      <c r="S5" s="359"/>
      <c r="T5" s="356"/>
      <c r="U5" s="360"/>
    </row>
    <row r="6" spans="1:21" s="365" customFormat="1" ht="23.25" customHeight="1">
      <c r="A6" s="361"/>
      <c r="B6" s="1085" t="str">
        <f>Trips!B3</f>
        <v>FY 2020</v>
      </c>
      <c r="C6" s="1086"/>
      <c r="D6" s="362" t="s">
        <v>8</v>
      </c>
      <c r="E6" s="362" t="s">
        <v>78</v>
      </c>
      <c r="F6" s="362" t="s">
        <v>79</v>
      </c>
      <c r="G6" s="362" t="s">
        <v>80</v>
      </c>
      <c r="H6" s="362" t="s">
        <v>81</v>
      </c>
      <c r="I6" s="362" t="s">
        <v>82</v>
      </c>
      <c r="J6" s="362" t="s">
        <v>83</v>
      </c>
      <c r="K6" s="362" t="s">
        <v>84</v>
      </c>
      <c r="L6" s="362" t="s">
        <v>85</v>
      </c>
      <c r="M6" s="362" t="s">
        <v>4</v>
      </c>
      <c r="N6" s="362" t="s">
        <v>5</v>
      </c>
      <c r="O6" s="362" t="s">
        <v>6</v>
      </c>
      <c r="P6" s="363" t="s">
        <v>110</v>
      </c>
      <c r="Q6" s="363" t="s">
        <v>111</v>
      </c>
      <c r="R6" s="363" t="s">
        <v>112</v>
      </c>
      <c r="S6" s="363" t="s">
        <v>113</v>
      </c>
      <c r="T6" s="363" t="s">
        <v>114</v>
      </c>
      <c r="U6" s="364"/>
    </row>
    <row r="7" spans="1:21" ht="17.399999999999999">
      <c r="A7" s="366">
        <v>15</v>
      </c>
      <c r="B7" s="367"/>
      <c r="C7" s="368" t="s">
        <v>187</v>
      </c>
      <c r="D7" s="398">
        <f>'7-ADA Monthly Service Rpt ART'!C6</f>
        <v>23</v>
      </c>
      <c r="E7" s="398">
        <f>'7-ADA Monthly Service Rpt ART'!D6</f>
        <v>22</v>
      </c>
      <c r="F7" s="398">
        <f>'7-ADA Monthly Service Rpt ART'!E6</f>
        <v>21</v>
      </c>
      <c r="G7" s="398">
        <f>'7-ADA Monthly Service Rpt ART'!F6</f>
        <v>23</v>
      </c>
      <c r="H7" s="398">
        <f>'7-ADA Monthly Service Rpt ART'!G6</f>
        <v>20</v>
      </c>
      <c r="I7" s="398">
        <f>'7-ADA Monthly Service Rpt ART'!H6</f>
        <v>21</v>
      </c>
      <c r="J7" s="398">
        <f>'7-ADA Monthly Service Rpt ART'!I6</f>
        <v>0</v>
      </c>
      <c r="K7" s="398">
        <f>'7-ADA Monthly Service Rpt ART'!J6</f>
        <v>0</v>
      </c>
      <c r="L7" s="398">
        <f>'7-ADA Monthly Service Rpt ART'!K6</f>
        <v>0</v>
      </c>
      <c r="M7" s="398">
        <f>'7-ADA Monthly Service Rpt ART'!L6</f>
        <v>0</v>
      </c>
      <c r="N7" s="398">
        <f>'7-ADA Monthly Service Rpt ART'!M6</f>
        <v>0</v>
      </c>
      <c r="O7" s="398">
        <f>'7-ADA Monthly Service Rpt ART'!N6</f>
        <v>0</v>
      </c>
      <c r="P7" s="369">
        <f>D7+E7+F7</f>
        <v>66</v>
      </c>
      <c r="Q7" s="369">
        <f>G7+H7+I7</f>
        <v>64</v>
      </c>
      <c r="R7" s="369">
        <f>J7+K7+L7</f>
        <v>0</v>
      </c>
      <c r="S7" s="369">
        <f>M7+N7+O7</f>
        <v>0</v>
      </c>
      <c r="T7" s="369">
        <f>SUM(D7:O7)</f>
        <v>130</v>
      </c>
      <c r="U7" s="370">
        <v>15</v>
      </c>
    </row>
    <row r="8" spans="1:21" s="374" customFormat="1" ht="18" hidden="1" customHeight="1">
      <c r="A8" s="366"/>
      <c r="B8" s="372" t="s">
        <v>407</v>
      </c>
      <c r="C8" s="373"/>
      <c r="D8" s="373"/>
      <c r="E8" s="373"/>
      <c r="F8" s="373"/>
      <c r="G8" s="373"/>
      <c r="H8" s="373"/>
      <c r="I8" s="373"/>
      <c r="J8" s="373"/>
      <c r="K8" s="373"/>
      <c r="L8" s="373"/>
      <c r="M8" s="373"/>
      <c r="N8" s="373"/>
      <c r="O8" s="373"/>
      <c r="P8" s="373"/>
      <c r="Q8" s="373"/>
      <c r="R8" s="373"/>
      <c r="S8" s="373"/>
      <c r="T8" s="373"/>
      <c r="U8" s="370"/>
    </row>
    <row r="9" spans="1:21" s="379" customFormat="1" ht="13.8" hidden="1">
      <c r="A9" s="366">
        <v>16</v>
      </c>
      <c r="B9" s="375"/>
      <c r="C9" s="376" t="s">
        <v>274</v>
      </c>
      <c r="D9" s="377"/>
      <c r="E9" s="377"/>
      <c r="F9" s="377"/>
      <c r="G9" s="377"/>
      <c r="H9" s="377"/>
      <c r="I9" s="377"/>
      <c r="J9" s="377"/>
      <c r="K9" s="377"/>
      <c r="L9" s="377"/>
      <c r="M9" s="377"/>
      <c r="N9" s="377"/>
      <c r="O9" s="377"/>
      <c r="P9" s="378">
        <f>MAX(D9:F9)</f>
        <v>0</v>
      </c>
      <c r="Q9" s="378">
        <f>MAX(G9:I9)</f>
        <v>0</v>
      </c>
      <c r="R9" s="378">
        <f>MAX(J9:L9)</f>
        <v>0</v>
      </c>
      <c r="S9" s="378">
        <f>MAX(M9:O9)</f>
        <v>0</v>
      </c>
      <c r="T9" s="378">
        <f>MAX(P9:S9)</f>
        <v>0</v>
      </c>
      <c r="U9" s="370">
        <f>U7+1</f>
        <v>16</v>
      </c>
    </row>
    <row r="10" spans="1:21" ht="13.8" hidden="1">
      <c r="A10" s="366">
        <v>17</v>
      </c>
      <c r="B10" s="380"/>
      <c r="C10" s="381" t="s">
        <v>225</v>
      </c>
      <c r="D10" s="377"/>
      <c r="E10" s="377"/>
      <c r="F10" s="377"/>
      <c r="G10" s="377"/>
      <c r="H10" s="377"/>
      <c r="I10" s="377"/>
      <c r="J10" s="377"/>
      <c r="K10" s="377"/>
      <c r="L10" s="377"/>
      <c r="M10" s="377"/>
      <c r="N10" s="377"/>
      <c r="O10" s="377"/>
      <c r="P10" s="369">
        <f>D10+E10+F10</f>
        <v>0</v>
      </c>
      <c r="Q10" s="369">
        <f>G10+H10+I10</f>
        <v>0</v>
      </c>
      <c r="R10" s="369">
        <f>J10+K10+L10</f>
        <v>0</v>
      </c>
      <c r="S10" s="369">
        <f>M10+N10+O10</f>
        <v>0</v>
      </c>
      <c r="T10" s="369">
        <f>SUM(D10:O10)</f>
        <v>0</v>
      </c>
      <c r="U10" s="370">
        <f>U9+1</f>
        <v>17</v>
      </c>
    </row>
    <row r="11" spans="1:21" ht="13.8" hidden="1">
      <c r="A11" s="366">
        <v>18</v>
      </c>
      <c r="B11" s="380"/>
      <c r="C11" s="381" t="s">
        <v>226</v>
      </c>
      <c r="D11" s="377"/>
      <c r="E11" s="377"/>
      <c r="F11" s="377"/>
      <c r="G11" s="377"/>
      <c r="H11" s="377"/>
      <c r="I11" s="377"/>
      <c r="J11" s="377"/>
      <c r="K11" s="377"/>
      <c r="L11" s="377"/>
      <c r="M11" s="377"/>
      <c r="N11" s="377"/>
      <c r="O11" s="377"/>
      <c r="P11" s="369">
        <f>D11+E11+F11</f>
        <v>0</v>
      </c>
      <c r="Q11" s="369">
        <f>G11+H11+I11</f>
        <v>0</v>
      </c>
      <c r="R11" s="369">
        <f>J11+K11+L11</f>
        <v>0</v>
      </c>
      <c r="S11" s="369">
        <f>M11+N11+O11</f>
        <v>0</v>
      </c>
      <c r="T11" s="369">
        <f>SUM(D11:O11)</f>
        <v>0</v>
      </c>
      <c r="U11" s="370">
        <f>U10+1</f>
        <v>18</v>
      </c>
    </row>
    <row r="12" spans="1:21" ht="13.8" hidden="1">
      <c r="A12" s="366">
        <v>19</v>
      </c>
      <c r="B12" s="380"/>
      <c r="C12" s="381" t="s">
        <v>276</v>
      </c>
      <c r="D12" s="377"/>
      <c r="E12" s="377"/>
      <c r="F12" s="377"/>
      <c r="G12" s="377"/>
      <c r="H12" s="377"/>
      <c r="I12" s="377"/>
      <c r="J12" s="377"/>
      <c r="K12" s="377"/>
      <c r="L12" s="377"/>
      <c r="M12" s="377"/>
      <c r="N12" s="377"/>
      <c r="O12" s="377"/>
      <c r="P12" s="369">
        <f>D12+E12+F12</f>
        <v>0</v>
      </c>
      <c r="Q12" s="369">
        <f>G12+H12+I12</f>
        <v>0</v>
      </c>
      <c r="R12" s="369">
        <f>J12+K12+L12</f>
        <v>0</v>
      </c>
      <c r="S12" s="369">
        <f>M12+N12+O12</f>
        <v>0</v>
      </c>
      <c r="T12" s="369">
        <f>SUM(D12:O12)</f>
        <v>0</v>
      </c>
      <c r="U12" s="370">
        <f>U11+1</f>
        <v>19</v>
      </c>
    </row>
    <row r="13" spans="1:21" ht="13.8" hidden="1">
      <c r="A13" s="366">
        <v>20</v>
      </c>
      <c r="B13" s="382"/>
      <c r="C13" s="383" t="s">
        <v>275</v>
      </c>
      <c r="D13" s="377"/>
      <c r="E13" s="377"/>
      <c r="F13" s="377"/>
      <c r="G13" s="377"/>
      <c r="H13" s="377"/>
      <c r="I13" s="377"/>
      <c r="J13" s="377"/>
      <c r="K13" s="377"/>
      <c r="L13" s="377"/>
      <c r="M13" s="377"/>
      <c r="N13" s="377"/>
      <c r="O13" s="377"/>
      <c r="P13" s="369">
        <f>D13+E13+F13</f>
        <v>0</v>
      </c>
      <c r="Q13" s="369">
        <f>G13+H13+I13</f>
        <v>0</v>
      </c>
      <c r="R13" s="369">
        <f>J13+K13+L13</f>
        <v>0</v>
      </c>
      <c r="S13" s="369">
        <f>M13+N13+O13</f>
        <v>0</v>
      </c>
      <c r="T13" s="369">
        <f>SUM(D13:O13)</f>
        <v>0</v>
      </c>
      <c r="U13" s="370">
        <f>U12+1</f>
        <v>20</v>
      </c>
    </row>
    <row r="14" spans="1:21" s="385" customFormat="1" ht="18" customHeight="1">
      <c r="A14" s="366"/>
      <c r="B14" s="372" t="s">
        <v>408</v>
      </c>
      <c r="C14" s="373"/>
      <c r="D14" s="384"/>
      <c r="E14" s="384"/>
      <c r="F14" s="384"/>
      <c r="G14" s="384"/>
      <c r="H14" s="384"/>
      <c r="I14" s="384"/>
      <c r="J14" s="384"/>
      <c r="K14" s="384"/>
      <c r="L14" s="384"/>
      <c r="M14" s="384"/>
      <c r="N14" s="384"/>
      <c r="O14" s="384"/>
      <c r="P14" s="373"/>
      <c r="Q14" s="373"/>
      <c r="R14" s="373"/>
      <c r="S14" s="373"/>
      <c r="T14" s="373"/>
      <c r="U14" s="370"/>
    </row>
    <row r="15" spans="1:21" s="379" customFormat="1" ht="13.8">
      <c r="A15" s="366">
        <v>21</v>
      </c>
      <c r="B15" s="375"/>
      <c r="C15" s="376" t="s">
        <v>274</v>
      </c>
      <c r="D15" s="398">
        <f>'7-ADA Monthly Service Rpt ART'!C7</f>
        <v>31</v>
      </c>
      <c r="E15" s="398">
        <f>'7-ADA Monthly Service Rpt ART'!D7</f>
        <v>31</v>
      </c>
      <c r="F15" s="398">
        <f>'7-ADA Monthly Service Rpt ART'!E7</f>
        <v>31</v>
      </c>
      <c r="G15" s="398">
        <f>'7-ADA Monthly Service Rpt ART'!F7</f>
        <v>31</v>
      </c>
      <c r="H15" s="398">
        <f>'7-ADA Monthly Service Rpt ART'!G7</f>
        <v>31</v>
      </c>
      <c r="I15" s="398">
        <f>'7-ADA Monthly Service Rpt ART'!H7</f>
        <v>31</v>
      </c>
      <c r="J15" s="398">
        <f>'7-ADA Monthly Service Rpt ART'!I7</f>
        <v>0</v>
      </c>
      <c r="K15" s="398">
        <f>'7-ADA Monthly Service Rpt ART'!J7</f>
        <v>0</v>
      </c>
      <c r="L15" s="398">
        <f>'7-ADA Monthly Service Rpt ART'!K7</f>
        <v>0</v>
      </c>
      <c r="M15" s="398">
        <f>'7-ADA Monthly Service Rpt ART'!L7</f>
        <v>0</v>
      </c>
      <c r="N15" s="398">
        <f>'7-ADA Monthly Service Rpt ART'!M7</f>
        <v>0</v>
      </c>
      <c r="O15" s="398">
        <f>'7-ADA Monthly Service Rpt ART'!N7</f>
        <v>0</v>
      </c>
      <c r="P15" s="378">
        <f>MAX(D15:F15)</f>
        <v>31</v>
      </c>
      <c r="Q15" s="378">
        <f>MAX(G15:I15)</f>
        <v>31</v>
      </c>
      <c r="R15" s="378">
        <f>MAX(J15:L15)</f>
        <v>0</v>
      </c>
      <c r="S15" s="378">
        <f>MAX(M15:O15)</f>
        <v>0</v>
      </c>
      <c r="T15" s="378">
        <f>MAX(P15:S15)</f>
        <v>31</v>
      </c>
      <c r="U15" s="370">
        <f>U13+1</f>
        <v>21</v>
      </c>
    </row>
    <row r="16" spans="1:21" ht="13.8">
      <c r="A16" s="366">
        <v>22</v>
      </c>
      <c r="B16" s="380"/>
      <c r="C16" s="381" t="s">
        <v>225</v>
      </c>
      <c r="D16" s="398">
        <f>'7-ADA Monthly Service Rpt ART'!C8</f>
        <v>31</v>
      </c>
      <c r="E16" s="398">
        <f>'7-ADA Monthly Service Rpt ART'!D8</f>
        <v>31</v>
      </c>
      <c r="F16" s="398">
        <f>'7-ADA Monthly Service Rpt ART'!E8</f>
        <v>31</v>
      </c>
      <c r="G16" s="398">
        <f>'7-ADA Monthly Service Rpt ART'!F8</f>
        <v>31</v>
      </c>
      <c r="H16" s="398">
        <f>'7-ADA Monthly Service Rpt ART'!G8</f>
        <v>31</v>
      </c>
      <c r="I16" s="398">
        <f>'7-ADA Monthly Service Rpt ART'!H8</f>
        <v>31</v>
      </c>
      <c r="J16" s="398">
        <f>'7-ADA Monthly Service Rpt ART'!I8</f>
        <v>0</v>
      </c>
      <c r="K16" s="398">
        <f>'7-ADA Monthly Service Rpt ART'!J8</f>
        <v>0</v>
      </c>
      <c r="L16" s="398">
        <f>'7-ADA Monthly Service Rpt ART'!K8</f>
        <v>0</v>
      </c>
      <c r="M16" s="398">
        <f>'7-ADA Monthly Service Rpt ART'!L8</f>
        <v>0</v>
      </c>
      <c r="N16" s="398">
        <f>'7-ADA Monthly Service Rpt ART'!M8</f>
        <v>0</v>
      </c>
      <c r="O16" s="398">
        <f>'7-ADA Monthly Service Rpt ART'!N8</f>
        <v>0</v>
      </c>
      <c r="P16" s="369">
        <f>D16+E16+F16</f>
        <v>93</v>
      </c>
      <c r="Q16" s="369">
        <f>G16+H16+I16</f>
        <v>93</v>
      </c>
      <c r="R16" s="369">
        <f>J16+K16+L16</f>
        <v>0</v>
      </c>
      <c r="S16" s="369">
        <f>M16+N16+O16</f>
        <v>0</v>
      </c>
      <c r="T16" s="369">
        <f>SUM(D16:O16)</f>
        <v>186</v>
      </c>
      <c r="U16" s="370">
        <f>U15+1</f>
        <v>22</v>
      </c>
    </row>
    <row r="17" spans="1:21" ht="13.8">
      <c r="A17" s="366">
        <v>23</v>
      </c>
      <c r="B17" s="380"/>
      <c r="C17" s="381" t="s">
        <v>226</v>
      </c>
      <c r="D17" s="398">
        <f>'7-ADA Monthly Service Rpt ART'!C9</f>
        <v>3632</v>
      </c>
      <c r="E17" s="398">
        <f>'7-ADA Monthly Service Rpt ART'!D9</f>
        <v>3506</v>
      </c>
      <c r="F17" s="398">
        <f>'7-ADA Monthly Service Rpt ART'!E9</f>
        <v>3323</v>
      </c>
      <c r="G17" s="398">
        <f>'7-ADA Monthly Service Rpt ART'!F9</f>
        <v>3810</v>
      </c>
      <c r="H17" s="398">
        <f>'7-ADA Monthly Service Rpt ART'!G9</f>
        <v>3013</v>
      </c>
      <c r="I17" s="398">
        <f>'7-ADA Monthly Service Rpt ART'!H9</f>
        <v>3208</v>
      </c>
      <c r="J17" s="398">
        <f>'7-ADA Monthly Service Rpt ART'!I9</f>
        <v>0</v>
      </c>
      <c r="K17" s="398">
        <f>'7-ADA Monthly Service Rpt ART'!J9</f>
        <v>0</v>
      </c>
      <c r="L17" s="398">
        <f>'7-ADA Monthly Service Rpt ART'!K9</f>
        <v>0</v>
      </c>
      <c r="M17" s="398">
        <f>'7-ADA Monthly Service Rpt ART'!L9</f>
        <v>0</v>
      </c>
      <c r="N17" s="398">
        <f>'7-ADA Monthly Service Rpt ART'!M9</f>
        <v>0</v>
      </c>
      <c r="O17" s="398">
        <f>'7-ADA Monthly Service Rpt ART'!N9</f>
        <v>0</v>
      </c>
      <c r="P17" s="369">
        <f>D17+E17+F17</f>
        <v>10461</v>
      </c>
      <c r="Q17" s="369">
        <f>G17+H17+I17</f>
        <v>10031</v>
      </c>
      <c r="R17" s="369">
        <f>J17+K17+L17</f>
        <v>0</v>
      </c>
      <c r="S17" s="369">
        <f>M17+N17+O17</f>
        <v>0</v>
      </c>
      <c r="T17" s="369">
        <f>SUM(D17:O17)</f>
        <v>20492</v>
      </c>
      <c r="U17" s="370">
        <f>U16+1</f>
        <v>23</v>
      </c>
    </row>
    <row r="18" spans="1:21" ht="13.8">
      <c r="A18" s="366">
        <v>24</v>
      </c>
      <c r="B18" s="380"/>
      <c r="C18" s="381" t="s">
        <v>276</v>
      </c>
      <c r="D18" s="398">
        <f>'7-ADA Monthly Service Rpt ART'!C10</f>
        <v>29278</v>
      </c>
      <c r="E18" s="398">
        <f>'7-ADA Monthly Service Rpt ART'!D10</f>
        <v>28695</v>
      </c>
      <c r="F18" s="398">
        <f>'7-ADA Monthly Service Rpt ART'!E10</f>
        <v>27509</v>
      </c>
      <c r="G18" s="398">
        <f>'7-ADA Monthly Service Rpt ART'!F10</f>
        <v>30306</v>
      </c>
      <c r="H18" s="398">
        <f>'7-ADA Monthly Service Rpt ART'!G10</f>
        <v>23895</v>
      </c>
      <c r="I18" s="398">
        <f>'7-ADA Monthly Service Rpt ART'!H10</f>
        <v>24469</v>
      </c>
      <c r="J18" s="398">
        <f>'7-ADA Monthly Service Rpt ART'!I10</f>
        <v>0</v>
      </c>
      <c r="K18" s="398">
        <f>'7-ADA Monthly Service Rpt ART'!J10</f>
        <v>0</v>
      </c>
      <c r="L18" s="398">
        <f>'7-ADA Monthly Service Rpt ART'!K10</f>
        <v>0</v>
      </c>
      <c r="M18" s="398">
        <f>'7-ADA Monthly Service Rpt ART'!L10</f>
        <v>0</v>
      </c>
      <c r="N18" s="398">
        <f>'7-ADA Monthly Service Rpt ART'!M10</f>
        <v>0</v>
      </c>
      <c r="O18" s="398">
        <f>'7-ADA Monthly Service Rpt ART'!N10</f>
        <v>0</v>
      </c>
      <c r="P18" s="369">
        <f>D18+E18+F18</f>
        <v>85482</v>
      </c>
      <c r="Q18" s="369">
        <f>G18+H18+I18</f>
        <v>78670</v>
      </c>
      <c r="R18" s="369">
        <f>J18+K18+L18</f>
        <v>0</v>
      </c>
      <c r="S18" s="369">
        <f>M18+N18+O18</f>
        <v>0</v>
      </c>
      <c r="T18" s="369">
        <f>SUM(D18:O18)</f>
        <v>164152</v>
      </c>
      <c r="U18" s="370">
        <f>U17+1</f>
        <v>24</v>
      </c>
    </row>
    <row r="19" spans="1:21" ht="13.8">
      <c r="A19" s="366">
        <v>25</v>
      </c>
      <c r="B19" s="382"/>
      <c r="C19" s="383" t="s">
        <v>275</v>
      </c>
      <c r="D19" s="398">
        <f>'7-ADA Monthly Service Rpt ART'!C11</f>
        <v>1672</v>
      </c>
      <c r="E19" s="398">
        <f>'7-ADA Monthly Service Rpt ART'!D11</f>
        <v>1650</v>
      </c>
      <c r="F19" s="398">
        <f>'7-ADA Monthly Service Rpt ART'!E11</f>
        <v>1530</v>
      </c>
      <c r="G19" s="398">
        <f>'7-ADA Monthly Service Rpt ART'!F11</f>
        <v>1693</v>
      </c>
      <c r="H19" s="398">
        <f>'7-ADA Monthly Service Rpt ART'!G11</f>
        <v>1351</v>
      </c>
      <c r="I19" s="398">
        <f>'7-ADA Monthly Service Rpt ART'!H11</f>
        <v>1379</v>
      </c>
      <c r="J19" s="398">
        <f>'7-ADA Monthly Service Rpt ART'!I11</f>
        <v>0</v>
      </c>
      <c r="K19" s="398">
        <f>'7-ADA Monthly Service Rpt ART'!J11</f>
        <v>0</v>
      </c>
      <c r="L19" s="398">
        <f>'7-ADA Monthly Service Rpt ART'!K11</f>
        <v>0</v>
      </c>
      <c r="M19" s="398">
        <f>'7-ADA Monthly Service Rpt ART'!L11</f>
        <v>0</v>
      </c>
      <c r="N19" s="398">
        <f>'7-ADA Monthly Service Rpt ART'!M11</f>
        <v>0</v>
      </c>
      <c r="O19" s="398">
        <f>'7-ADA Monthly Service Rpt ART'!N11</f>
        <v>0</v>
      </c>
      <c r="P19" s="369">
        <f>D19+E19+F19</f>
        <v>4852</v>
      </c>
      <c r="Q19" s="369">
        <f>G19+H19+I19</f>
        <v>4423</v>
      </c>
      <c r="R19" s="369">
        <f>J19+K19+L19</f>
        <v>0</v>
      </c>
      <c r="S19" s="369">
        <f>M19+N19+O19</f>
        <v>0</v>
      </c>
      <c r="T19" s="369">
        <f>SUM(D19:O19)</f>
        <v>9275</v>
      </c>
      <c r="U19" s="370">
        <f>U18+1</f>
        <v>25</v>
      </c>
    </row>
    <row r="20" spans="1:21" ht="18" hidden="1" customHeight="1">
      <c r="A20" s="366"/>
      <c r="B20" s="372" t="s">
        <v>409</v>
      </c>
      <c r="C20" s="386"/>
      <c r="D20" s="387"/>
      <c r="E20" s="387"/>
      <c r="F20" s="387"/>
      <c r="G20" s="387"/>
      <c r="H20" s="387"/>
      <c r="I20" s="387"/>
      <c r="J20" s="387"/>
      <c r="K20" s="387"/>
      <c r="L20" s="387"/>
      <c r="M20" s="387"/>
      <c r="N20" s="387"/>
      <c r="O20" s="387"/>
      <c r="P20" s="388"/>
      <c r="Q20" s="388"/>
      <c r="R20" s="388"/>
      <c r="S20" s="388"/>
      <c r="T20" s="388"/>
      <c r="U20" s="370"/>
    </row>
    <row r="21" spans="1:21" s="379" customFormat="1" ht="13.8" hidden="1">
      <c r="A21" s="366">
        <v>26</v>
      </c>
      <c r="B21" s="375"/>
      <c r="C21" s="376" t="s">
        <v>410</v>
      </c>
      <c r="D21" s="377"/>
      <c r="E21" s="377"/>
      <c r="F21" s="377"/>
      <c r="G21" s="377"/>
      <c r="H21" s="377"/>
      <c r="I21" s="377"/>
      <c r="J21" s="377"/>
      <c r="K21" s="377"/>
      <c r="L21" s="377"/>
      <c r="M21" s="377"/>
      <c r="N21" s="377"/>
      <c r="O21" s="377"/>
      <c r="P21" s="378">
        <f>MAX(D21:F21)</f>
        <v>0</v>
      </c>
      <c r="Q21" s="378">
        <f>MAX(G21:I21)</f>
        <v>0</v>
      </c>
      <c r="R21" s="378">
        <f>MAX(J21:L21)</f>
        <v>0</v>
      </c>
      <c r="S21" s="378">
        <f>MAX(M21:O21)</f>
        <v>0</v>
      </c>
      <c r="T21" s="378">
        <f>MAX(P21:S21)</f>
        <v>0</v>
      </c>
      <c r="U21" s="370">
        <f>U19+1</f>
        <v>26</v>
      </c>
    </row>
    <row r="22" spans="1:21" ht="13.8" hidden="1">
      <c r="A22" s="366">
        <v>27</v>
      </c>
      <c r="B22" s="380"/>
      <c r="C22" s="381" t="s">
        <v>411</v>
      </c>
      <c r="D22" s="377"/>
      <c r="E22" s="377"/>
      <c r="F22" s="377"/>
      <c r="G22" s="377"/>
      <c r="H22" s="377"/>
      <c r="I22" s="377"/>
      <c r="J22" s="377"/>
      <c r="K22" s="377"/>
      <c r="L22" s="377"/>
      <c r="M22" s="377"/>
      <c r="N22" s="377"/>
      <c r="O22" s="377"/>
      <c r="P22" s="369">
        <f>D22+E22+F22</f>
        <v>0</v>
      </c>
      <c r="Q22" s="369">
        <f>G22+H22+I22</f>
        <v>0</v>
      </c>
      <c r="R22" s="369">
        <f>J22+K22+L22</f>
        <v>0</v>
      </c>
      <c r="S22" s="369">
        <f>M22+N22+O22</f>
        <v>0</v>
      </c>
      <c r="T22" s="369">
        <f>SUM(D22:O22)</f>
        <v>0</v>
      </c>
      <c r="U22" s="370">
        <f>U21+1</f>
        <v>27</v>
      </c>
    </row>
    <row r="23" spans="1:21" ht="13.8" hidden="1">
      <c r="A23" s="366">
        <v>28</v>
      </c>
      <c r="B23" s="380"/>
      <c r="C23" s="381" t="s">
        <v>226</v>
      </c>
      <c r="D23" s="377"/>
      <c r="E23" s="377"/>
      <c r="F23" s="377"/>
      <c r="G23" s="377"/>
      <c r="H23" s="377"/>
      <c r="I23" s="377"/>
      <c r="J23" s="377"/>
      <c r="K23" s="377"/>
      <c r="L23" s="377"/>
      <c r="M23" s="377"/>
      <c r="N23" s="377"/>
      <c r="O23" s="377"/>
      <c r="P23" s="369">
        <f>D23+E23+F23</f>
        <v>0</v>
      </c>
      <c r="Q23" s="369">
        <f>G23+H23+I23</f>
        <v>0</v>
      </c>
      <c r="R23" s="369">
        <f>J23+K23+L23</f>
        <v>0</v>
      </c>
      <c r="S23" s="369">
        <f>M23+N23+O23</f>
        <v>0</v>
      </c>
      <c r="T23" s="369">
        <f>SUM(D23:O23)</f>
        <v>0</v>
      </c>
      <c r="U23" s="370">
        <f>U22+1</f>
        <v>28</v>
      </c>
    </row>
    <row r="24" spans="1:21" ht="13.8" hidden="1">
      <c r="A24" s="366">
        <v>29</v>
      </c>
      <c r="B24" s="380"/>
      <c r="C24" s="381" t="s">
        <v>412</v>
      </c>
      <c r="D24" s="377"/>
      <c r="E24" s="377"/>
      <c r="F24" s="377"/>
      <c r="G24" s="377"/>
      <c r="H24" s="377"/>
      <c r="I24" s="377"/>
      <c r="J24" s="377"/>
      <c r="K24" s="377"/>
      <c r="L24" s="377"/>
      <c r="M24" s="377"/>
      <c r="N24" s="377"/>
      <c r="O24" s="377"/>
      <c r="P24" s="369">
        <f>D24+E24+F24</f>
        <v>0</v>
      </c>
      <c r="Q24" s="369">
        <f>G24+H24+I24</f>
        <v>0</v>
      </c>
      <c r="R24" s="369">
        <f>J24+K24+L24</f>
        <v>0</v>
      </c>
      <c r="S24" s="369">
        <f>M24+N24+O24</f>
        <v>0</v>
      </c>
      <c r="T24" s="369">
        <f>SUM(D24:O24)</f>
        <v>0</v>
      </c>
      <c r="U24" s="370">
        <f>U23+1</f>
        <v>29</v>
      </c>
    </row>
    <row r="25" spans="1:21" ht="13.8" hidden="1">
      <c r="A25" s="366">
        <v>30</v>
      </c>
      <c r="B25" s="382"/>
      <c r="C25" s="383" t="s">
        <v>413</v>
      </c>
      <c r="D25" s="377"/>
      <c r="E25" s="377"/>
      <c r="F25" s="377"/>
      <c r="G25" s="377"/>
      <c r="H25" s="377"/>
      <c r="I25" s="377"/>
      <c r="J25" s="377"/>
      <c r="K25" s="377"/>
      <c r="L25" s="377"/>
      <c r="M25" s="377"/>
      <c r="N25" s="377"/>
      <c r="O25" s="377"/>
      <c r="P25" s="369">
        <f>D25+E25+F25</f>
        <v>0</v>
      </c>
      <c r="Q25" s="369">
        <f>G25+H25+I25</f>
        <v>0</v>
      </c>
      <c r="R25" s="369">
        <f>J25+K25+L25</f>
        <v>0</v>
      </c>
      <c r="S25" s="369">
        <f>M25+N25+O25</f>
        <v>0</v>
      </c>
      <c r="T25" s="369">
        <f>SUM(D25:O25)</f>
        <v>0</v>
      </c>
      <c r="U25" s="370">
        <f>U24+1</f>
        <v>30</v>
      </c>
    </row>
    <row r="26" spans="1:21" ht="18" hidden="1" customHeight="1">
      <c r="A26" s="366"/>
      <c r="B26" s="372" t="s">
        <v>414</v>
      </c>
      <c r="C26" s="386"/>
      <c r="D26" s="388"/>
      <c r="E26" s="388"/>
      <c r="F26" s="388"/>
      <c r="G26" s="388"/>
      <c r="H26" s="388"/>
      <c r="I26" s="388"/>
      <c r="J26" s="388"/>
      <c r="K26" s="388"/>
      <c r="L26" s="388"/>
      <c r="M26" s="388"/>
      <c r="N26" s="388"/>
      <c r="O26" s="388"/>
      <c r="P26" s="388"/>
      <c r="Q26" s="388"/>
      <c r="R26" s="388"/>
      <c r="S26" s="388"/>
      <c r="T26" s="388"/>
      <c r="U26" s="370"/>
    </row>
    <row r="27" spans="1:21" s="379" customFormat="1" ht="13.8" hidden="1">
      <c r="A27" s="366">
        <v>31</v>
      </c>
      <c r="B27" s="375"/>
      <c r="C27" s="376" t="s">
        <v>410</v>
      </c>
      <c r="D27" s="377"/>
      <c r="E27" s="377"/>
      <c r="F27" s="377"/>
      <c r="G27" s="377"/>
      <c r="H27" s="377"/>
      <c r="I27" s="377"/>
      <c r="J27" s="377"/>
      <c r="K27" s="377"/>
      <c r="L27" s="377"/>
      <c r="M27" s="377"/>
      <c r="N27" s="377"/>
      <c r="O27" s="377"/>
      <c r="P27" s="378">
        <f>MAX(D27:F27)</f>
        <v>0</v>
      </c>
      <c r="Q27" s="378">
        <f>MAX(G27:I27)</f>
        <v>0</v>
      </c>
      <c r="R27" s="378">
        <f>MAX(J27:L27)</f>
        <v>0</v>
      </c>
      <c r="S27" s="378">
        <f>MAX(M27:O27)</f>
        <v>0</v>
      </c>
      <c r="T27" s="378">
        <f>MAX(P27:S27)</f>
        <v>0</v>
      </c>
      <c r="U27" s="370">
        <f>U25+1</f>
        <v>31</v>
      </c>
    </row>
    <row r="28" spans="1:21" ht="13.8" hidden="1">
      <c r="A28" s="366">
        <v>32</v>
      </c>
      <c r="B28" s="380"/>
      <c r="C28" s="381" t="s">
        <v>411</v>
      </c>
      <c r="D28" s="377"/>
      <c r="E28" s="377"/>
      <c r="F28" s="377"/>
      <c r="G28" s="377"/>
      <c r="H28" s="377"/>
      <c r="I28" s="377"/>
      <c r="J28" s="377"/>
      <c r="K28" s="377"/>
      <c r="L28" s="377"/>
      <c r="M28" s="377"/>
      <c r="N28" s="377"/>
      <c r="O28" s="377"/>
      <c r="P28" s="369">
        <f>D28+E28+F28</f>
        <v>0</v>
      </c>
      <c r="Q28" s="369">
        <f>G28+H28+I28</f>
        <v>0</v>
      </c>
      <c r="R28" s="369">
        <f>J28+K28+L28</f>
        <v>0</v>
      </c>
      <c r="S28" s="369">
        <f>M28+N28+O28</f>
        <v>0</v>
      </c>
      <c r="T28" s="369">
        <f>SUM(D28:O28)</f>
        <v>0</v>
      </c>
      <c r="U28" s="370">
        <f>U27+1</f>
        <v>32</v>
      </c>
    </row>
    <row r="29" spans="1:21" ht="13.8" hidden="1">
      <c r="A29" s="366">
        <v>33</v>
      </c>
      <c r="B29" s="380"/>
      <c r="C29" s="381" t="s">
        <v>226</v>
      </c>
      <c r="D29" s="377"/>
      <c r="E29" s="377"/>
      <c r="F29" s="377"/>
      <c r="G29" s="377"/>
      <c r="H29" s="377"/>
      <c r="I29" s="377"/>
      <c r="J29" s="377"/>
      <c r="K29" s="377"/>
      <c r="L29" s="377"/>
      <c r="M29" s="377"/>
      <c r="N29" s="377"/>
      <c r="O29" s="377"/>
      <c r="P29" s="369">
        <f>D29+E29+F29</f>
        <v>0</v>
      </c>
      <c r="Q29" s="369">
        <f>G29+H29+I29</f>
        <v>0</v>
      </c>
      <c r="R29" s="369">
        <f>J29+K29+L29</f>
        <v>0</v>
      </c>
      <c r="S29" s="369">
        <f>M29+N29+O29</f>
        <v>0</v>
      </c>
      <c r="T29" s="369">
        <f>SUM(D29:O29)</f>
        <v>0</v>
      </c>
      <c r="U29" s="370">
        <f>U28+1</f>
        <v>33</v>
      </c>
    </row>
    <row r="30" spans="1:21" ht="13.8" hidden="1">
      <c r="A30" s="366">
        <v>34</v>
      </c>
      <c r="B30" s="380"/>
      <c r="C30" s="381" t="s">
        <v>412</v>
      </c>
      <c r="D30" s="377"/>
      <c r="E30" s="377"/>
      <c r="F30" s="377"/>
      <c r="G30" s="377"/>
      <c r="H30" s="377"/>
      <c r="I30" s="377"/>
      <c r="J30" s="377"/>
      <c r="K30" s="377"/>
      <c r="L30" s="377"/>
      <c r="M30" s="377"/>
      <c r="N30" s="377"/>
      <c r="O30" s="377"/>
      <c r="P30" s="369">
        <f>D30+E30+F30</f>
        <v>0</v>
      </c>
      <c r="Q30" s="369">
        <f>G30+H30+I30</f>
        <v>0</v>
      </c>
      <c r="R30" s="369">
        <f>J30+K30+L30</f>
        <v>0</v>
      </c>
      <c r="S30" s="369">
        <f>M30+N30+O30</f>
        <v>0</v>
      </c>
      <c r="T30" s="369">
        <f>SUM(D30:O30)</f>
        <v>0</v>
      </c>
      <c r="U30" s="370">
        <f>U29+1</f>
        <v>34</v>
      </c>
    </row>
    <row r="31" spans="1:21" ht="13.8" hidden="1">
      <c r="A31" s="366">
        <v>35</v>
      </c>
      <c r="B31" s="382"/>
      <c r="C31" s="383" t="s">
        <v>413</v>
      </c>
      <c r="D31" s="377"/>
      <c r="E31" s="377"/>
      <c r="F31" s="377"/>
      <c r="G31" s="377"/>
      <c r="H31" s="377"/>
      <c r="I31" s="377"/>
      <c r="J31" s="377"/>
      <c r="K31" s="377"/>
      <c r="L31" s="377"/>
      <c r="M31" s="377"/>
      <c r="N31" s="377"/>
      <c r="O31" s="377"/>
      <c r="P31" s="369">
        <f>D31+E31+F31</f>
        <v>0</v>
      </c>
      <c r="Q31" s="369">
        <f>G31+H31+I31</f>
        <v>0</v>
      </c>
      <c r="R31" s="369">
        <f>J31+K31+L31</f>
        <v>0</v>
      </c>
      <c r="S31" s="369">
        <f>M31+N31+O31</f>
        <v>0</v>
      </c>
      <c r="T31" s="369">
        <f>SUM(D31:O31)</f>
        <v>0</v>
      </c>
      <c r="U31" s="370">
        <f>U30+1</f>
        <v>35</v>
      </c>
    </row>
    <row r="32" spans="1:21" ht="13.8" thickBot="1">
      <c r="A32" s="389"/>
      <c r="B32" s="390"/>
      <c r="C32" s="391"/>
      <c r="D32" s="392" t="s">
        <v>395</v>
      </c>
      <c r="E32" s="392" t="s">
        <v>396</v>
      </c>
      <c r="F32" s="392" t="s">
        <v>397</v>
      </c>
      <c r="G32" s="392" t="s">
        <v>398</v>
      </c>
      <c r="H32" s="392" t="s">
        <v>399</v>
      </c>
      <c r="I32" s="392" t="s">
        <v>400</v>
      </c>
      <c r="J32" s="392" t="s">
        <v>401</v>
      </c>
      <c r="K32" s="392" t="s">
        <v>402</v>
      </c>
      <c r="L32" s="392" t="s">
        <v>403</v>
      </c>
      <c r="M32" s="392" t="s">
        <v>404</v>
      </c>
      <c r="N32" s="392" t="s">
        <v>405</v>
      </c>
      <c r="O32" s="392" t="s">
        <v>406</v>
      </c>
      <c r="P32" s="390"/>
      <c r="Q32" s="390"/>
      <c r="R32" s="390"/>
      <c r="S32" s="390"/>
      <c r="T32" s="390"/>
      <c r="U32" s="393"/>
    </row>
    <row r="33" spans="1:21" ht="22.8">
      <c r="A33" s="347"/>
      <c r="B33" s="348" t="s">
        <v>433</v>
      </c>
      <c r="C33" s="349"/>
      <c r="D33" s="350"/>
      <c r="E33" s="350"/>
      <c r="F33" s="350"/>
      <c r="G33" s="350"/>
      <c r="H33" s="350"/>
      <c r="I33" s="350"/>
      <c r="J33" s="350"/>
      <c r="K33" s="350"/>
      <c r="L33" s="350"/>
      <c r="M33" s="350"/>
      <c r="N33" s="350"/>
      <c r="O33" s="350"/>
      <c r="P33" s="351"/>
      <c r="Q33" s="351"/>
      <c r="R33" s="351"/>
      <c r="S33" s="351"/>
      <c r="T33" s="349"/>
      <c r="U33" s="352"/>
    </row>
    <row r="34" spans="1:21" ht="22.8">
      <c r="A34" s="354"/>
      <c r="B34" s="355"/>
      <c r="C34" s="356"/>
      <c r="D34" s="357" t="s">
        <v>395</v>
      </c>
      <c r="E34" s="358" t="s">
        <v>396</v>
      </c>
      <c r="F34" s="358" t="s">
        <v>397</v>
      </c>
      <c r="G34" s="358" t="s">
        <v>398</v>
      </c>
      <c r="H34" s="358" t="s">
        <v>399</v>
      </c>
      <c r="I34" s="358" t="s">
        <v>400</v>
      </c>
      <c r="J34" s="358" t="s">
        <v>401</v>
      </c>
      <c r="K34" s="358" t="s">
        <v>402</v>
      </c>
      <c r="L34" s="358" t="s">
        <v>403</v>
      </c>
      <c r="M34" s="358" t="s">
        <v>404</v>
      </c>
      <c r="N34" s="358" t="s">
        <v>405</v>
      </c>
      <c r="O34" s="358" t="s">
        <v>406</v>
      </c>
      <c r="P34" s="359"/>
      <c r="Q34" s="359"/>
      <c r="R34" s="359"/>
      <c r="S34" s="359"/>
      <c r="T34" s="356"/>
      <c r="U34" s="360"/>
    </row>
    <row r="35" spans="1:21" ht="17.399999999999999">
      <c r="A35" s="361"/>
      <c r="B35" s="1034" t="str">
        <f>B6</f>
        <v>FY 2020</v>
      </c>
      <c r="C35" s="1035"/>
      <c r="D35" s="362" t="s">
        <v>8</v>
      </c>
      <c r="E35" s="362" t="s">
        <v>78</v>
      </c>
      <c r="F35" s="362" t="s">
        <v>79</v>
      </c>
      <c r="G35" s="362" t="s">
        <v>80</v>
      </c>
      <c r="H35" s="362" t="s">
        <v>81</v>
      </c>
      <c r="I35" s="362" t="s">
        <v>82</v>
      </c>
      <c r="J35" s="362" t="s">
        <v>83</v>
      </c>
      <c r="K35" s="362" t="s">
        <v>84</v>
      </c>
      <c r="L35" s="362" t="s">
        <v>85</v>
      </c>
      <c r="M35" s="362" t="s">
        <v>4</v>
      </c>
      <c r="N35" s="362" t="s">
        <v>5</v>
      </c>
      <c r="O35" s="362" t="s">
        <v>6</v>
      </c>
      <c r="P35" s="363" t="s">
        <v>110</v>
      </c>
      <c r="Q35" s="363" t="s">
        <v>111</v>
      </c>
      <c r="R35" s="363" t="s">
        <v>112</v>
      </c>
      <c r="S35" s="363" t="s">
        <v>113</v>
      </c>
      <c r="T35" s="363" t="s">
        <v>114</v>
      </c>
      <c r="U35" s="364"/>
    </row>
    <row r="36" spans="1:21" ht="17.399999999999999">
      <c r="A36" s="366">
        <v>1</v>
      </c>
      <c r="B36" s="367"/>
      <c r="C36" s="368" t="s">
        <v>187</v>
      </c>
      <c r="D36" s="399">
        <f>'7-ADA Monthly Service Rpt ART'!C16</f>
        <v>4</v>
      </c>
      <c r="E36" s="399">
        <f>'7-ADA Monthly Service Rpt ART'!D16</f>
        <v>5</v>
      </c>
      <c r="F36" s="399">
        <f>'7-ADA Monthly Service Rpt ART'!E16</f>
        <v>4</v>
      </c>
      <c r="G36" s="399">
        <f>'7-ADA Monthly Service Rpt ART'!F16</f>
        <v>4</v>
      </c>
      <c r="H36" s="399">
        <f>'7-ADA Monthly Service Rpt ART'!G16</f>
        <v>5</v>
      </c>
      <c r="I36" s="399">
        <f>'7-ADA Monthly Service Rpt ART'!H16</f>
        <v>4</v>
      </c>
      <c r="J36" s="399">
        <f>'7-ADA Monthly Service Rpt ART'!I16</f>
        <v>0</v>
      </c>
      <c r="K36" s="399">
        <f>'7-ADA Monthly Service Rpt ART'!J16</f>
        <v>0</v>
      </c>
      <c r="L36" s="399">
        <f>'7-ADA Monthly Service Rpt ART'!K16</f>
        <v>0</v>
      </c>
      <c r="M36" s="399">
        <f>'7-ADA Monthly Service Rpt ART'!L16</f>
        <v>0</v>
      </c>
      <c r="N36" s="399">
        <f>'7-ADA Monthly Service Rpt ART'!M16</f>
        <v>0</v>
      </c>
      <c r="O36" s="399">
        <f>'7-ADA Monthly Service Rpt ART'!N16</f>
        <v>0</v>
      </c>
      <c r="P36" s="369">
        <f>D36+E36+F36</f>
        <v>13</v>
      </c>
      <c r="Q36" s="369">
        <f>G36+H36+I36</f>
        <v>13</v>
      </c>
      <c r="R36" s="369">
        <f>J36+K36+L36</f>
        <v>0</v>
      </c>
      <c r="S36" s="369">
        <f>M36+N36+O36</f>
        <v>0</v>
      </c>
      <c r="T36" s="369">
        <f>SUM(D36:O36)</f>
        <v>26</v>
      </c>
      <c r="U36" s="370">
        <v>1</v>
      </c>
    </row>
    <row r="37" spans="1:21" ht="13.8" hidden="1">
      <c r="A37" s="366"/>
      <c r="B37" s="372" t="s">
        <v>407</v>
      </c>
      <c r="C37" s="373"/>
      <c r="D37" s="373"/>
      <c r="E37" s="373"/>
      <c r="F37" s="373"/>
      <c r="G37" s="373"/>
      <c r="H37" s="373"/>
      <c r="I37" s="373"/>
      <c r="J37" s="373"/>
      <c r="K37" s="373"/>
      <c r="L37" s="373"/>
      <c r="M37" s="373"/>
      <c r="N37" s="373"/>
      <c r="O37" s="373"/>
      <c r="P37" s="373"/>
      <c r="Q37" s="373"/>
      <c r="R37" s="373"/>
      <c r="S37" s="373"/>
      <c r="T37" s="373"/>
      <c r="U37" s="370"/>
    </row>
    <row r="38" spans="1:21" ht="13.8" hidden="1">
      <c r="A38" s="366">
        <v>2</v>
      </c>
      <c r="B38" s="375"/>
      <c r="C38" s="376" t="s">
        <v>274</v>
      </c>
      <c r="D38" s="377"/>
      <c r="E38" s="377"/>
      <c r="F38" s="377"/>
      <c r="G38" s="377"/>
      <c r="H38" s="377"/>
      <c r="I38" s="377"/>
      <c r="J38" s="377"/>
      <c r="K38" s="377"/>
      <c r="L38" s="377"/>
      <c r="M38" s="377"/>
      <c r="N38" s="377"/>
      <c r="O38" s="377"/>
      <c r="P38" s="378">
        <f>MAX(D38:F38)</f>
        <v>0</v>
      </c>
      <c r="Q38" s="378">
        <f>MAX(G38:I38)</f>
        <v>0</v>
      </c>
      <c r="R38" s="378">
        <f>MAX(J38:L38)</f>
        <v>0</v>
      </c>
      <c r="S38" s="378">
        <f>MAX(M38:O38)</f>
        <v>0</v>
      </c>
      <c r="T38" s="378">
        <f>MAX(P38:S38)</f>
        <v>0</v>
      </c>
      <c r="U38" s="370">
        <f>U36+1</f>
        <v>2</v>
      </c>
    </row>
    <row r="39" spans="1:21" ht="13.8" hidden="1">
      <c r="A39" s="366">
        <v>3</v>
      </c>
      <c r="B39" s="380"/>
      <c r="C39" s="381" t="s">
        <v>225</v>
      </c>
      <c r="D39" s="397"/>
      <c r="E39" s="397"/>
      <c r="F39" s="397"/>
      <c r="G39" s="397"/>
      <c r="H39" s="397"/>
      <c r="I39" s="397"/>
      <c r="J39" s="397"/>
      <c r="K39" s="397"/>
      <c r="L39" s="397"/>
      <c r="M39" s="397"/>
      <c r="N39" s="397"/>
      <c r="O39" s="397"/>
      <c r="P39" s="369">
        <f>D39+E39+F39</f>
        <v>0</v>
      </c>
      <c r="Q39" s="369">
        <f>G39+H39+I39</f>
        <v>0</v>
      </c>
      <c r="R39" s="369">
        <f>J39+K39+L39</f>
        <v>0</v>
      </c>
      <c r="S39" s="369">
        <f>M39+N39+O39</f>
        <v>0</v>
      </c>
      <c r="T39" s="369">
        <f>SUM(D39:O39)</f>
        <v>0</v>
      </c>
      <c r="U39" s="370">
        <f>U38+1</f>
        <v>3</v>
      </c>
    </row>
    <row r="40" spans="1:21" ht="13.8" hidden="1">
      <c r="A40" s="366">
        <v>4</v>
      </c>
      <c r="B40" s="380"/>
      <c r="C40" s="381" t="s">
        <v>226</v>
      </c>
      <c r="D40" s="397"/>
      <c r="E40" s="397"/>
      <c r="F40" s="397"/>
      <c r="G40" s="397"/>
      <c r="H40" s="397"/>
      <c r="I40" s="397"/>
      <c r="J40" s="397"/>
      <c r="K40" s="397"/>
      <c r="L40" s="397"/>
      <c r="M40" s="397"/>
      <c r="N40" s="397"/>
      <c r="O40" s="397"/>
      <c r="P40" s="369">
        <f>D40+E40+F40</f>
        <v>0</v>
      </c>
      <c r="Q40" s="369">
        <f>G40+H40+I40</f>
        <v>0</v>
      </c>
      <c r="R40" s="369">
        <f>J40+K40+L40</f>
        <v>0</v>
      </c>
      <c r="S40" s="369">
        <f>M40+N40+O40</f>
        <v>0</v>
      </c>
      <c r="T40" s="369">
        <f>SUM(D40:O40)</f>
        <v>0</v>
      </c>
      <c r="U40" s="370">
        <f>U39+1</f>
        <v>4</v>
      </c>
    </row>
    <row r="41" spans="1:21" ht="13.8" hidden="1">
      <c r="A41" s="366">
        <v>5</v>
      </c>
      <c r="B41" s="380"/>
      <c r="C41" s="381" t="s">
        <v>276</v>
      </c>
      <c r="D41" s="397"/>
      <c r="E41" s="397"/>
      <c r="F41" s="397"/>
      <c r="G41" s="397"/>
      <c r="H41" s="397"/>
      <c r="I41" s="397"/>
      <c r="J41" s="397"/>
      <c r="K41" s="397"/>
      <c r="L41" s="397"/>
      <c r="M41" s="397"/>
      <c r="N41" s="397"/>
      <c r="O41" s="397"/>
      <c r="P41" s="369">
        <f>D41+E41+F41</f>
        <v>0</v>
      </c>
      <c r="Q41" s="369">
        <f>G41+H41+I41</f>
        <v>0</v>
      </c>
      <c r="R41" s="369">
        <f>J41+K41+L41</f>
        <v>0</v>
      </c>
      <c r="S41" s="369">
        <f>M41+N41+O41</f>
        <v>0</v>
      </c>
      <c r="T41" s="369">
        <f>SUM(D41:O41)</f>
        <v>0</v>
      </c>
      <c r="U41" s="370">
        <f>U40+1</f>
        <v>5</v>
      </c>
    </row>
    <row r="42" spans="1:21" ht="13.8" hidden="1">
      <c r="A42" s="366">
        <v>6</v>
      </c>
      <c r="B42" s="382"/>
      <c r="C42" s="383" t="s">
        <v>275</v>
      </c>
      <c r="D42" s="397"/>
      <c r="E42" s="397"/>
      <c r="F42" s="397"/>
      <c r="G42" s="397"/>
      <c r="H42" s="397"/>
      <c r="I42" s="397"/>
      <c r="J42" s="397"/>
      <c r="K42" s="397"/>
      <c r="L42" s="397"/>
      <c r="M42" s="397"/>
      <c r="N42" s="397"/>
      <c r="O42" s="397"/>
      <c r="P42" s="369">
        <f>D42+E42+F42</f>
        <v>0</v>
      </c>
      <c r="Q42" s="369">
        <f>G42+H42+I42</f>
        <v>0</v>
      </c>
      <c r="R42" s="369">
        <f>J42+K42+L42</f>
        <v>0</v>
      </c>
      <c r="S42" s="369">
        <f>M42+N42+O42</f>
        <v>0</v>
      </c>
      <c r="T42" s="369">
        <f>SUM(D42:O42)</f>
        <v>0</v>
      </c>
      <c r="U42" s="370">
        <f>U41+1</f>
        <v>6</v>
      </c>
    </row>
    <row r="43" spans="1:21" ht="13.8">
      <c r="A43" s="366"/>
      <c r="B43" s="372" t="s">
        <v>408</v>
      </c>
      <c r="C43" s="373"/>
      <c r="D43" s="373"/>
      <c r="E43" s="373"/>
      <c r="F43" s="373"/>
      <c r="G43" s="373"/>
      <c r="H43" s="373"/>
      <c r="I43" s="373"/>
      <c r="J43" s="373"/>
      <c r="K43" s="373"/>
      <c r="L43" s="373"/>
      <c r="M43" s="373"/>
      <c r="N43" s="373"/>
      <c r="O43" s="373"/>
      <c r="P43" s="373"/>
      <c r="Q43" s="373"/>
      <c r="R43" s="373"/>
      <c r="S43" s="373"/>
      <c r="T43" s="373"/>
      <c r="U43" s="370"/>
    </row>
    <row r="44" spans="1:21" ht="13.8">
      <c r="A44" s="366">
        <v>7</v>
      </c>
      <c r="B44" s="375"/>
      <c r="C44" s="376" t="s">
        <v>274</v>
      </c>
      <c r="D44" s="398">
        <f>'7-ADA Monthly Service Rpt ART'!C17</f>
        <v>8</v>
      </c>
      <c r="E44" s="398">
        <f>'7-ADA Monthly Service Rpt ART'!D17</f>
        <v>8</v>
      </c>
      <c r="F44" s="398">
        <f>'7-ADA Monthly Service Rpt ART'!E17</f>
        <v>8</v>
      </c>
      <c r="G44" s="398">
        <f>'7-ADA Monthly Service Rpt ART'!F17</f>
        <v>8</v>
      </c>
      <c r="H44" s="398">
        <f>'7-ADA Monthly Service Rpt ART'!G17</f>
        <v>8</v>
      </c>
      <c r="I44" s="398">
        <f>'7-ADA Monthly Service Rpt ART'!H17</f>
        <v>8</v>
      </c>
      <c r="J44" s="398">
        <f>'7-ADA Monthly Service Rpt ART'!I17</f>
        <v>0</v>
      </c>
      <c r="K44" s="398">
        <f>'7-ADA Monthly Service Rpt ART'!J17</f>
        <v>0</v>
      </c>
      <c r="L44" s="398">
        <f>'7-ADA Monthly Service Rpt ART'!K17</f>
        <v>0</v>
      </c>
      <c r="M44" s="398">
        <f>'7-ADA Monthly Service Rpt ART'!L17</f>
        <v>0</v>
      </c>
      <c r="N44" s="398">
        <f>'7-ADA Monthly Service Rpt ART'!M17</f>
        <v>0</v>
      </c>
      <c r="O44" s="398">
        <f>'7-ADA Monthly Service Rpt ART'!N17</f>
        <v>0</v>
      </c>
      <c r="P44" s="378">
        <f>MAX(D44:F44)</f>
        <v>8</v>
      </c>
      <c r="Q44" s="378">
        <f>MAX(G44:I44)</f>
        <v>8</v>
      </c>
      <c r="R44" s="378">
        <f>MAX(J44:L44)</f>
        <v>0</v>
      </c>
      <c r="S44" s="378">
        <f>MAX(M44:O44)</f>
        <v>0</v>
      </c>
      <c r="T44" s="378">
        <f>MAX(P44:S44)</f>
        <v>8</v>
      </c>
      <c r="U44" s="370">
        <f>U42+1</f>
        <v>7</v>
      </c>
    </row>
    <row r="45" spans="1:21" ht="13.8">
      <c r="A45" s="366">
        <v>8</v>
      </c>
      <c r="B45" s="380"/>
      <c r="C45" s="381" t="s">
        <v>225</v>
      </c>
      <c r="D45" s="398">
        <f>'7-ADA Monthly Service Rpt ART'!C18</f>
        <v>8</v>
      </c>
      <c r="E45" s="398">
        <f>'7-ADA Monthly Service Rpt ART'!D18</f>
        <v>8</v>
      </c>
      <c r="F45" s="398">
        <f>'7-ADA Monthly Service Rpt ART'!E18</f>
        <v>8</v>
      </c>
      <c r="G45" s="398">
        <f>'7-ADA Monthly Service Rpt ART'!F18</f>
        <v>8</v>
      </c>
      <c r="H45" s="398">
        <f>'7-ADA Monthly Service Rpt ART'!G18</f>
        <v>8</v>
      </c>
      <c r="I45" s="398">
        <f>'7-ADA Monthly Service Rpt ART'!H18</f>
        <v>8</v>
      </c>
      <c r="J45" s="398">
        <f>'7-ADA Monthly Service Rpt ART'!I18</f>
        <v>0</v>
      </c>
      <c r="K45" s="398">
        <f>'7-ADA Monthly Service Rpt ART'!J18</f>
        <v>0</v>
      </c>
      <c r="L45" s="398">
        <f>'7-ADA Monthly Service Rpt ART'!K18</f>
        <v>0</v>
      </c>
      <c r="M45" s="398">
        <f>'7-ADA Monthly Service Rpt ART'!L18</f>
        <v>0</v>
      </c>
      <c r="N45" s="398">
        <f>'7-ADA Monthly Service Rpt ART'!M18</f>
        <v>0</v>
      </c>
      <c r="O45" s="398">
        <f>'7-ADA Monthly Service Rpt ART'!N18</f>
        <v>0</v>
      </c>
      <c r="P45" s="369">
        <f>D45+E45+F45</f>
        <v>24</v>
      </c>
      <c r="Q45" s="369">
        <f>G45+H45+I45</f>
        <v>24</v>
      </c>
      <c r="R45" s="369">
        <f>J45+K45+L45</f>
        <v>0</v>
      </c>
      <c r="S45" s="369">
        <f>M45+N45+O45</f>
        <v>0</v>
      </c>
      <c r="T45" s="369">
        <f>SUM(D45:O45)</f>
        <v>48</v>
      </c>
      <c r="U45" s="370">
        <f>U44+1</f>
        <v>8</v>
      </c>
    </row>
    <row r="46" spans="1:21" ht="13.8">
      <c r="A46" s="366">
        <v>9</v>
      </c>
      <c r="B46" s="380"/>
      <c r="C46" s="381" t="s">
        <v>226</v>
      </c>
      <c r="D46" s="398">
        <f>'7-ADA Monthly Service Rpt ART'!C19</f>
        <v>306</v>
      </c>
      <c r="E46" s="398">
        <f>'7-ADA Monthly Service Rpt ART'!D19</f>
        <v>392</v>
      </c>
      <c r="F46" s="398">
        <f>'7-ADA Monthly Service Rpt ART'!E19</f>
        <v>345</v>
      </c>
      <c r="G46" s="398">
        <f>'7-ADA Monthly Service Rpt ART'!F19</f>
        <v>276</v>
      </c>
      <c r="H46" s="398">
        <f>'7-ADA Monthly Service Rpt ART'!G19</f>
        <v>307</v>
      </c>
      <c r="I46" s="398">
        <f>'7-ADA Monthly Service Rpt ART'!H19</f>
        <v>289</v>
      </c>
      <c r="J46" s="398">
        <f>'7-ADA Monthly Service Rpt ART'!I19</f>
        <v>0</v>
      </c>
      <c r="K46" s="398">
        <f>'7-ADA Monthly Service Rpt ART'!J19</f>
        <v>0</v>
      </c>
      <c r="L46" s="398">
        <f>'7-ADA Monthly Service Rpt ART'!K19</f>
        <v>0</v>
      </c>
      <c r="M46" s="398">
        <f>'7-ADA Monthly Service Rpt ART'!L19</f>
        <v>0</v>
      </c>
      <c r="N46" s="398">
        <f>'7-ADA Monthly Service Rpt ART'!M19</f>
        <v>0</v>
      </c>
      <c r="O46" s="398">
        <f>'7-ADA Monthly Service Rpt ART'!N19</f>
        <v>0</v>
      </c>
      <c r="P46" s="369">
        <f>D46+E46+F46</f>
        <v>1043</v>
      </c>
      <c r="Q46" s="369">
        <f>G46+H46+I46</f>
        <v>872</v>
      </c>
      <c r="R46" s="369">
        <f>J46+K46+L46</f>
        <v>0</v>
      </c>
      <c r="S46" s="369">
        <f>M46+N46+O46</f>
        <v>0</v>
      </c>
      <c r="T46" s="369">
        <f>SUM(D46:O46)</f>
        <v>1915</v>
      </c>
      <c r="U46" s="370">
        <f>U45+1</f>
        <v>9</v>
      </c>
    </row>
    <row r="47" spans="1:21" ht="13.8">
      <c r="A47" s="366">
        <v>10</v>
      </c>
      <c r="B47" s="380"/>
      <c r="C47" s="381" t="s">
        <v>276</v>
      </c>
      <c r="D47" s="398">
        <f>'7-ADA Monthly Service Rpt ART'!C20</f>
        <v>2596</v>
      </c>
      <c r="E47" s="398">
        <f>'7-ADA Monthly Service Rpt ART'!D20</f>
        <v>3289</v>
      </c>
      <c r="F47" s="398">
        <f>'7-ADA Monthly Service Rpt ART'!E20</f>
        <v>2700</v>
      </c>
      <c r="G47" s="398">
        <f>'7-ADA Monthly Service Rpt ART'!F20</f>
        <v>2371</v>
      </c>
      <c r="H47" s="398">
        <f>'7-ADA Monthly Service Rpt ART'!G20</f>
        <v>2756</v>
      </c>
      <c r="I47" s="398">
        <f>'7-ADA Monthly Service Rpt ART'!H20</f>
        <v>2075</v>
      </c>
      <c r="J47" s="398">
        <f>'7-ADA Monthly Service Rpt ART'!I20</f>
        <v>0</v>
      </c>
      <c r="K47" s="398">
        <f>'7-ADA Monthly Service Rpt ART'!J20</f>
        <v>0</v>
      </c>
      <c r="L47" s="398">
        <f>'7-ADA Monthly Service Rpt ART'!K20</f>
        <v>0</v>
      </c>
      <c r="M47" s="398">
        <f>'7-ADA Monthly Service Rpt ART'!L20</f>
        <v>0</v>
      </c>
      <c r="N47" s="398">
        <f>'7-ADA Monthly Service Rpt ART'!M20</f>
        <v>0</v>
      </c>
      <c r="O47" s="398">
        <f>'7-ADA Monthly Service Rpt ART'!N20</f>
        <v>0</v>
      </c>
      <c r="P47" s="369">
        <f>D47+E47+F47</f>
        <v>8585</v>
      </c>
      <c r="Q47" s="369">
        <f>G47+H47+I47</f>
        <v>7202</v>
      </c>
      <c r="R47" s="369">
        <f>J47+K47+L47</f>
        <v>0</v>
      </c>
      <c r="S47" s="369">
        <f>M47+N47+O47</f>
        <v>0</v>
      </c>
      <c r="T47" s="369">
        <f>SUM(D47:O47)</f>
        <v>15787</v>
      </c>
      <c r="U47" s="370">
        <f>U46+1</f>
        <v>10</v>
      </c>
    </row>
    <row r="48" spans="1:21" ht="13.8">
      <c r="A48" s="366">
        <v>11</v>
      </c>
      <c r="B48" s="382"/>
      <c r="C48" s="383" t="s">
        <v>275</v>
      </c>
      <c r="D48" s="398">
        <f>'7-ADA Monthly Service Rpt ART'!C21</f>
        <v>146</v>
      </c>
      <c r="E48" s="398">
        <f>'7-ADA Monthly Service Rpt ART'!D21</f>
        <v>172</v>
      </c>
      <c r="F48" s="398">
        <f>'7-ADA Monthly Service Rpt ART'!E21</f>
        <v>156</v>
      </c>
      <c r="G48" s="398">
        <f>'7-ADA Monthly Service Rpt ART'!F21</f>
        <v>131</v>
      </c>
      <c r="H48" s="398">
        <f>'7-ADA Monthly Service Rpt ART'!G21</f>
        <v>153</v>
      </c>
      <c r="I48" s="398">
        <f>'7-ADA Monthly Service Rpt ART'!H21</f>
        <v>123</v>
      </c>
      <c r="J48" s="398">
        <f>'7-ADA Monthly Service Rpt ART'!I21</f>
        <v>0</v>
      </c>
      <c r="K48" s="398">
        <f>'7-ADA Monthly Service Rpt ART'!J21</f>
        <v>0</v>
      </c>
      <c r="L48" s="398">
        <f>'7-ADA Monthly Service Rpt ART'!K21</f>
        <v>0</v>
      </c>
      <c r="M48" s="398">
        <f>'7-ADA Monthly Service Rpt ART'!L21</f>
        <v>0</v>
      </c>
      <c r="N48" s="398">
        <f>'7-ADA Monthly Service Rpt ART'!M21</f>
        <v>0</v>
      </c>
      <c r="O48" s="398">
        <f>'7-ADA Monthly Service Rpt ART'!N21</f>
        <v>0</v>
      </c>
      <c r="P48" s="369">
        <f>D48+E48+F48</f>
        <v>474</v>
      </c>
      <c r="Q48" s="369">
        <f>G48+H48+I48</f>
        <v>407</v>
      </c>
      <c r="R48" s="369">
        <f>J48+K48+L48</f>
        <v>0</v>
      </c>
      <c r="S48" s="369">
        <f>M48+N48+O48</f>
        <v>0</v>
      </c>
      <c r="T48" s="369">
        <f>SUM(D48:O48)</f>
        <v>881</v>
      </c>
      <c r="U48" s="370">
        <f>U47+1</f>
        <v>11</v>
      </c>
    </row>
    <row r="49" spans="1:21" ht="13.8" hidden="1">
      <c r="A49" s="366"/>
      <c r="B49" s="372" t="s">
        <v>409</v>
      </c>
      <c r="C49" s="386"/>
      <c r="D49" s="387"/>
      <c r="E49" s="387"/>
      <c r="F49" s="387"/>
      <c r="G49" s="387"/>
      <c r="H49" s="387"/>
      <c r="I49" s="387"/>
      <c r="J49" s="387"/>
      <c r="K49" s="387"/>
      <c r="L49" s="387"/>
      <c r="M49" s="387"/>
      <c r="N49" s="387"/>
      <c r="O49" s="387"/>
      <c r="P49" s="388"/>
      <c r="Q49" s="388"/>
      <c r="R49" s="388"/>
      <c r="S49" s="388"/>
      <c r="T49" s="388"/>
      <c r="U49" s="370"/>
    </row>
    <row r="50" spans="1:21" ht="13.8" hidden="1">
      <c r="A50" s="366">
        <v>12</v>
      </c>
      <c r="B50" s="375"/>
      <c r="C50" s="376" t="s">
        <v>410</v>
      </c>
      <c r="D50" s="377"/>
      <c r="E50" s="377"/>
      <c r="F50" s="377"/>
      <c r="G50" s="377"/>
      <c r="H50" s="377"/>
      <c r="I50" s="377"/>
      <c r="J50" s="377"/>
      <c r="K50" s="377"/>
      <c r="L50" s="377"/>
      <c r="M50" s="377"/>
      <c r="N50" s="377"/>
      <c r="O50" s="377"/>
      <c r="P50" s="378">
        <f>MAX(D50:F50)</f>
        <v>0</v>
      </c>
      <c r="Q50" s="378">
        <f>MAX(G50:I50)</f>
        <v>0</v>
      </c>
      <c r="R50" s="378">
        <f>MAX(J50:L50)</f>
        <v>0</v>
      </c>
      <c r="S50" s="378">
        <f>MAX(M50:O50)</f>
        <v>0</v>
      </c>
      <c r="T50" s="378">
        <f>MAX(P50:S50)</f>
        <v>0</v>
      </c>
      <c r="U50" s="370">
        <f>U48+1</f>
        <v>12</v>
      </c>
    </row>
    <row r="51" spans="1:21" ht="13.8" hidden="1">
      <c r="A51" s="366">
        <v>13</v>
      </c>
      <c r="B51" s="380"/>
      <c r="C51" s="381" t="s">
        <v>411</v>
      </c>
      <c r="D51" s="377"/>
      <c r="E51" s="377"/>
      <c r="F51" s="377"/>
      <c r="G51" s="377"/>
      <c r="H51" s="377"/>
      <c r="I51" s="377"/>
      <c r="J51" s="377"/>
      <c r="K51" s="397"/>
      <c r="L51" s="397"/>
      <c r="M51" s="397"/>
      <c r="N51" s="397"/>
      <c r="O51" s="397"/>
      <c r="P51" s="369">
        <f>D51+E51+F51</f>
        <v>0</v>
      </c>
      <c r="Q51" s="369">
        <f>G51+H51+I51</f>
        <v>0</v>
      </c>
      <c r="R51" s="369">
        <f>J51+K51+L51</f>
        <v>0</v>
      </c>
      <c r="S51" s="369">
        <f>M51+N51+O51</f>
        <v>0</v>
      </c>
      <c r="T51" s="369">
        <f>SUM(D51:O51)</f>
        <v>0</v>
      </c>
      <c r="U51" s="370">
        <f>U50+1</f>
        <v>13</v>
      </c>
    </row>
    <row r="52" spans="1:21" ht="13.8" hidden="1">
      <c r="A52" s="366">
        <v>14</v>
      </c>
      <c r="B52" s="380"/>
      <c r="C52" s="381" t="s">
        <v>226</v>
      </c>
      <c r="D52" s="377"/>
      <c r="E52" s="377"/>
      <c r="F52" s="377"/>
      <c r="G52" s="377"/>
      <c r="H52" s="377"/>
      <c r="I52" s="377"/>
      <c r="J52" s="377"/>
      <c r="K52" s="397"/>
      <c r="L52" s="397"/>
      <c r="M52" s="397"/>
      <c r="N52" s="397"/>
      <c r="O52" s="397"/>
      <c r="P52" s="369">
        <f>D52+E52+F52</f>
        <v>0</v>
      </c>
      <c r="Q52" s="369">
        <f>G52+H52+I52</f>
        <v>0</v>
      </c>
      <c r="R52" s="369">
        <f>J52+K52+L52</f>
        <v>0</v>
      </c>
      <c r="S52" s="369">
        <f>M52+N52+O52</f>
        <v>0</v>
      </c>
      <c r="T52" s="369">
        <f>SUM(D52:O52)</f>
        <v>0</v>
      </c>
      <c r="U52" s="370">
        <f>U51+1</f>
        <v>14</v>
      </c>
    </row>
    <row r="53" spans="1:21" ht="13.8" hidden="1">
      <c r="A53" s="366">
        <v>15</v>
      </c>
      <c r="B53" s="380"/>
      <c r="C53" s="381" t="s">
        <v>412</v>
      </c>
      <c r="D53" s="377"/>
      <c r="E53" s="377"/>
      <c r="F53" s="377"/>
      <c r="G53" s="377"/>
      <c r="H53" s="377"/>
      <c r="I53" s="377"/>
      <c r="J53" s="377"/>
      <c r="K53" s="397"/>
      <c r="L53" s="397"/>
      <c r="M53" s="397"/>
      <c r="N53" s="397"/>
      <c r="O53" s="397"/>
      <c r="P53" s="369">
        <f>D53+E53+F53</f>
        <v>0</v>
      </c>
      <c r="Q53" s="369">
        <f>G53+H53+I53</f>
        <v>0</v>
      </c>
      <c r="R53" s="369">
        <f>J53+K53+L53</f>
        <v>0</v>
      </c>
      <c r="S53" s="369">
        <f>M53+N53+O53</f>
        <v>0</v>
      </c>
      <c r="T53" s="369">
        <f>SUM(D53:O53)</f>
        <v>0</v>
      </c>
      <c r="U53" s="370">
        <f>U52+1</f>
        <v>15</v>
      </c>
    </row>
    <row r="54" spans="1:21" ht="13.8" hidden="1">
      <c r="A54" s="366">
        <v>16</v>
      </c>
      <c r="B54" s="382"/>
      <c r="C54" s="383" t="s">
        <v>413</v>
      </c>
      <c r="D54" s="377"/>
      <c r="E54" s="377"/>
      <c r="F54" s="377"/>
      <c r="G54" s="377"/>
      <c r="H54" s="377"/>
      <c r="I54" s="377"/>
      <c r="J54" s="377"/>
      <c r="K54" s="397"/>
      <c r="L54" s="397"/>
      <c r="M54" s="397"/>
      <c r="N54" s="397"/>
      <c r="O54" s="397"/>
      <c r="P54" s="369">
        <f>D54+E54+F54</f>
        <v>0</v>
      </c>
      <c r="Q54" s="369">
        <f>G54+H54+I54</f>
        <v>0</v>
      </c>
      <c r="R54" s="369">
        <f>J54+K54+L54</f>
        <v>0</v>
      </c>
      <c r="S54" s="369">
        <f>M54+N54+O54</f>
        <v>0</v>
      </c>
      <c r="T54" s="369">
        <f>SUM(D54:O54)</f>
        <v>0</v>
      </c>
      <c r="U54" s="370">
        <f>U53+1</f>
        <v>16</v>
      </c>
    </row>
    <row r="55" spans="1:21" ht="13.8" hidden="1">
      <c r="A55" s="366"/>
      <c r="B55" s="372" t="s">
        <v>414</v>
      </c>
      <c r="C55" s="386"/>
      <c r="D55" s="388"/>
      <c r="E55" s="388"/>
      <c r="F55" s="388"/>
      <c r="G55" s="388"/>
      <c r="H55" s="388"/>
      <c r="I55" s="388"/>
      <c r="J55" s="388"/>
      <c r="K55" s="388"/>
      <c r="L55" s="388"/>
      <c r="M55" s="388"/>
      <c r="N55" s="388"/>
      <c r="O55" s="388"/>
      <c r="P55" s="388"/>
      <c r="Q55" s="388"/>
      <c r="R55" s="388"/>
      <c r="S55" s="388"/>
      <c r="T55" s="388"/>
      <c r="U55" s="370"/>
    </row>
    <row r="56" spans="1:21" ht="13.8" hidden="1">
      <c r="A56" s="366">
        <v>17</v>
      </c>
      <c r="B56" s="375"/>
      <c r="C56" s="376" t="s">
        <v>410</v>
      </c>
      <c r="D56" s="377"/>
      <c r="E56" s="377"/>
      <c r="F56" s="377"/>
      <c r="G56" s="377"/>
      <c r="H56" s="377"/>
      <c r="I56" s="377"/>
      <c r="J56" s="377"/>
      <c r="K56" s="377"/>
      <c r="L56" s="377"/>
      <c r="M56" s="377"/>
      <c r="N56" s="377"/>
      <c r="O56" s="377"/>
      <c r="P56" s="378">
        <f>MAX(D56:F56)</f>
        <v>0</v>
      </c>
      <c r="Q56" s="378">
        <f>MAX(G56:I56)</f>
        <v>0</v>
      </c>
      <c r="R56" s="378">
        <f>MAX(J56:L56)</f>
        <v>0</v>
      </c>
      <c r="S56" s="378">
        <f>MAX(M56:O56)</f>
        <v>0</v>
      </c>
      <c r="T56" s="378">
        <f>MAX(P56:S56)</f>
        <v>0</v>
      </c>
      <c r="U56" s="370">
        <f>U54+1</f>
        <v>17</v>
      </c>
    </row>
    <row r="57" spans="1:21" ht="13.8" hidden="1">
      <c r="A57" s="366">
        <v>18</v>
      </c>
      <c r="B57" s="380"/>
      <c r="C57" s="381" t="s">
        <v>411</v>
      </c>
      <c r="D57" s="377"/>
      <c r="E57" s="377"/>
      <c r="F57" s="377"/>
      <c r="G57" s="377"/>
      <c r="H57" s="377"/>
      <c r="I57" s="377"/>
      <c r="J57" s="377"/>
      <c r="K57" s="377"/>
      <c r="L57" s="377"/>
      <c r="M57" s="377"/>
      <c r="N57" s="377"/>
      <c r="O57" s="377"/>
      <c r="P57" s="369">
        <f>D57+E57+F57</f>
        <v>0</v>
      </c>
      <c r="Q57" s="369">
        <f>G57+H57+I57</f>
        <v>0</v>
      </c>
      <c r="R57" s="369">
        <f>J57+K57+L57</f>
        <v>0</v>
      </c>
      <c r="S57" s="369">
        <f>M57+N57+O57</f>
        <v>0</v>
      </c>
      <c r="T57" s="369">
        <f>SUM(D57:O57)</f>
        <v>0</v>
      </c>
      <c r="U57" s="370">
        <f>U56+1</f>
        <v>18</v>
      </c>
    </row>
    <row r="58" spans="1:21" ht="13.8" hidden="1">
      <c r="A58" s="366">
        <v>19</v>
      </c>
      <c r="B58" s="380"/>
      <c r="C58" s="381" t="s">
        <v>226</v>
      </c>
      <c r="D58" s="377"/>
      <c r="E58" s="377"/>
      <c r="F58" s="377"/>
      <c r="G58" s="377"/>
      <c r="H58" s="377"/>
      <c r="I58" s="377"/>
      <c r="J58" s="377"/>
      <c r="K58" s="377"/>
      <c r="L58" s="377"/>
      <c r="M58" s="377"/>
      <c r="N58" s="377"/>
      <c r="O58" s="377"/>
      <c r="P58" s="369">
        <f>D58+E58+F58</f>
        <v>0</v>
      </c>
      <c r="Q58" s="369">
        <f>G58+H58+I58</f>
        <v>0</v>
      </c>
      <c r="R58" s="369">
        <f>J58+K58+L58</f>
        <v>0</v>
      </c>
      <c r="S58" s="369">
        <f>M58+N58+O58</f>
        <v>0</v>
      </c>
      <c r="T58" s="369">
        <f>SUM(D58:O58)</f>
        <v>0</v>
      </c>
      <c r="U58" s="370">
        <f>U57+1</f>
        <v>19</v>
      </c>
    </row>
    <row r="59" spans="1:21" ht="13.8" hidden="1">
      <c r="A59" s="366">
        <v>20</v>
      </c>
      <c r="B59" s="380"/>
      <c r="C59" s="381" t="s">
        <v>412</v>
      </c>
      <c r="D59" s="377"/>
      <c r="E59" s="377"/>
      <c r="F59" s="377"/>
      <c r="G59" s="377"/>
      <c r="H59" s="377"/>
      <c r="I59" s="377"/>
      <c r="J59" s="377"/>
      <c r="K59" s="377"/>
      <c r="L59" s="377"/>
      <c r="M59" s="377"/>
      <c r="N59" s="377"/>
      <c r="O59" s="377"/>
      <c r="P59" s="369">
        <f>D59+E59+F59</f>
        <v>0</v>
      </c>
      <c r="Q59" s="369">
        <f>G59+H59+I59</f>
        <v>0</v>
      </c>
      <c r="R59" s="369">
        <f>J59+K59+L59</f>
        <v>0</v>
      </c>
      <c r="S59" s="369">
        <f>M59+N59+O59</f>
        <v>0</v>
      </c>
      <c r="T59" s="369">
        <f>SUM(D59:O59)</f>
        <v>0</v>
      </c>
      <c r="U59" s="370">
        <f>U58+1</f>
        <v>20</v>
      </c>
    </row>
    <row r="60" spans="1:21" ht="13.8" hidden="1">
      <c r="A60" s="366">
        <v>21</v>
      </c>
      <c r="B60" s="382"/>
      <c r="C60" s="383" t="s">
        <v>413</v>
      </c>
      <c r="D60" s="377"/>
      <c r="E60" s="377"/>
      <c r="F60" s="377"/>
      <c r="G60" s="377"/>
      <c r="H60" s="377"/>
      <c r="I60" s="377"/>
      <c r="J60" s="377"/>
      <c r="K60" s="377"/>
      <c r="L60" s="377"/>
      <c r="M60" s="377"/>
      <c r="N60" s="377"/>
      <c r="O60" s="377"/>
      <c r="P60" s="369">
        <f>D60+E60+F60</f>
        <v>0</v>
      </c>
      <c r="Q60" s="369">
        <f>G60+H60+I60</f>
        <v>0</v>
      </c>
      <c r="R60" s="369">
        <f>J60+K60+L60</f>
        <v>0</v>
      </c>
      <c r="S60" s="369">
        <f>M60+N60+O60</f>
        <v>0</v>
      </c>
      <c r="T60" s="369">
        <f>SUM(D60:O60)</f>
        <v>0</v>
      </c>
      <c r="U60" s="370">
        <f>U59+1</f>
        <v>21</v>
      </c>
    </row>
    <row r="61" spans="1:21" ht="13.8" thickBot="1">
      <c r="A61" s="389"/>
      <c r="B61" s="390"/>
      <c r="C61" s="391"/>
      <c r="D61" s="392" t="s">
        <v>395</v>
      </c>
      <c r="E61" s="392" t="s">
        <v>396</v>
      </c>
      <c r="F61" s="392" t="s">
        <v>397</v>
      </c>
      <c r="G61" s="392" t="s">
        <v>398</v>
      </c>
      <c r="H61" s="392" t="s">
        <v>399</v>
      </c>
      <c r="I61" s="392" t="s">
        <v>400</v>
      </c>
      <c r="J61" s="392" t="s">
        <v>401</v>
      </c>
      <c r="K61" s="392" t="s">
        <v>402</v>
      </c>
      <c r="L61" s="392" t="s">
        <v>403</v>
      </c>
      <c r="M61" s="392" t="s">
        <v>404</v>
      </c>
      <c r="N61" s="392" t="s">
        <v>405</v>
      </c>
      <c r="O61" s="392" t="s">
        <v>406</v>
      </c>
      <c r="P61" s="390"/>
      <c r="Q61" s="390"/>
      <c r="R61" s="390"/>
      <c r="S61" s="390"/>
      <c r="T61" s="390"/>
      <c r="U61" s="393"/>
    </row>
    <row r="62" spans="1:21" ht="22.8">
      <c r="A62" s="347"/>
      <c r="B62" s="348" t="s">
        <v>464</v>
      </c>
      <c r="C62" s="349"/>
      <c r="D62" s="350"/>
      <c r="E62" s="350"/>
      <c r="F62" s="350"/>
      <c r="G62" s="350"/>
      <c r="H62" s="350"/>
      <c r="I62" s="350"/>
      <c r="J62" s="350"/>
      <c r="K62" s="350"/>
      <c r="L62" s="350"/>
      <c r="M62" s="350"/>
      <c r="N62" s="350"/>
      <c r="O62" s="350"/>
      <c r="P62" s="351"/>
      <c r="Q62" s="351"/>
      <c r="R62" s="351"/>
      <c r="S62" s="351"/>
      <c r="T62" s="349"/>
      <c r="U62" s="352"/>
    </row>
    <row r="63" spans="1:21" ht="22.8">
      <c r="A63" s="354"/>
      <c r="B63" s="355"/>
      <c r="C63" s="356"/>
      <c r="D63" s="357" t="s">
        <v>395</v>
      </c>
      <c r="E63" s="358" t="s">
        <v>396</v>
      </c>
      <c r="F63" s="358" t="s">
        <v>397</v>
      </c>
      <c r="G63" s="358" t="s">
        <v>398</v>
      </c>
      <c r="H63" s="358" t="s">
        <v>399</v>
      </c>
      <c r="I63" s="358" t="s">
        <v>400</v>
      </c>
      <c r="J63" s="358" t="s">
        <v>401</v>
      </c>
      <c r="K63" s="358" t="s">
        <v>402</v>
      </c>
      <c r="L63" s="358" t="s">
        <v>403</v>
      </c>
      <c r="M63" s="358" t="s">
        <v>404</v>
      </c>
      <c r="N63" s="358" t="s">
        <v>405</v>
      </c>
      <c r="O63" s="358" t="s">
        <v>406</v>
      </c>
      <c r="P63" s="359"/>
      <c r="Q63" s="359"/>
      <c r="R63" s="359"/>
      <c r="S63" s="359"/>
      <c r="T63" s="356"/>
      <c r="U63" s="360"/>
    </row>
    <row r="64" spans="1:21" ht="17.399999999999999">
      <c r="A64" s="361"/>
      <c r="B64" s="1034" t="str">
        <f>B6</f>
        <v>FY 2020</v>
      </c>
      <c r="C64" s="1035"/>
      <c r="D64" s="362" t="s">
        <v>8</v>
      </c>
      <c r="E64" s="362" t="s">
        <v>78</v>
      </c>
      <c r="F64" s="362" t="s">
        <v>79</v>
      </c>
      <c r="G64" s="362" t="s">
        <v>80</v>
      </c>
      <c r="H64" s="362" t="s">
        <v>81</v>
      </c>
      <c r="I64" s="362" t="s">
        <v>82</v>
      </c>
      <c r="J64" s="362" t="s">
        <v>83</v>
      </c>
      <c r="K64" s="362" t="s">
        <v>84</v>
      </c>
      <c r="L64" s="362" t="s">
        <v>85</v>
      </c>
      <c r="M64" s="362" t="s">
        <v>4</v>
      </c>
      <c r="N64" s="362" t="s">
        <v>5</v>
      </c>
      <c r="O64" s="362" t="s">
        <v>6</v>
      </c>
      <c r="P64" s="363" t="s">
        <v>110</v>
      </c>
      <c r="Q64" s="363" t="s">
        <v>111</v>
      </c>
      <c r="R64" s="363" t="s">
        <v>112</v>
      </c>
      <c r="S64" s="363" t="s">
        <v>113</v>
      </c>
      <c r="T64" s="363" t="s">
        <v>114</v>
      </c>
      <c r="U64" s="364"/>
    </row>
    <row r="65" spans="1:21" ht="17.399999999999999">
      <c r="A65" s="366">
        <v>1</v>
      </c>
      <c r="B65" s="367"/>
      <c r="C65" s="368" t="s">
        <v>187</v>
      </c>
      <c r="D65" s="399">
        <f>'7-ADA Monthly Service Rpt ART'!C26</f>
        <v>4</v>
      </c>
      <c r="E65" s="399">
        <f>'7-ADA Monthly Service Rpt ART'!D26</f>
        <v>4</v>
      </c>
      <c r="F65" s="399">
        <f>'7-ADA Monthly Service Rpt ART'!E26</f>
        <v>5</v>
      </c>
      <c r="G65" s="399">
        <f>'7-ADA Monthly Service Rpt ART'!F26</f>
        <v>4</v>
      </c>
      <c r="H65" s="399">
        <f>'7-ADA Monthly Service Rpt ART'!G26</f>
        <v>4</v>
      </c>
      <c r="I65" s="399">
        <f>'7-ADA Monthly Service Rpt ART'!H26</f>
        <v>5</v>
      </c>
      <c r="J65" s="399">
        <f>'7-ADA Monthly Service Rpt ART'!I26</f>
        <v>0</v>
      </c>
      <c r="K65" s="399">
        <f>'7-ADA Monthly Service Rpt ART'!J26</f>
        <v>0</v>
      </c>
      <c r="L65" s="399">
        <f>'7-ADA Monthly Service Rpt ART'!K26</f>
        <v>0</v>
      </c>
      <c r="M65" s="399">
        <f>'7-ADA Monthly Service Rpt ART'!L26</f>
        <v>0</v>
      </c>
      <c r="N65" s="399">
        <f>'7-ADA Monthly Service Rpt ART'!M26</f>
        <v>0</v>
      </c>
      <c r="O65" s="399">
        <f>'7-ADA Monthly Service Rpt ART'!N26</f>
        <v>0</v>
      </c>
      <c r="P65" s="369">
        <f>D65+E65+F65</f>
        <v>13</v>
      </c>
      <c r="Q65" s="369">
        <f>G65+H65+I65</f>
        <v>13</v>
      </c>
      <c r="R65" s="369">
        <f>J65+K65+L65</f>
        <v>0</v>
      </c>
      <c r="S65" s="369">
        <f>M65+N65+O65</f>
        <v>0</v>
      </c>
      <c r="T65" s="369">
        <f>SUM(D65:O65)</f>
        <v>26</v>
      </c>
      <c r="U65" s="370">
        <v>1</v>
      </c>
    </row>
    <row r="66" spans="1:21" ht="13.8" hidden="1">
      <c r="A66" s="366"/>
      <c r="B66" s="372" t="s">
        <v>407</v>
      </c>
      <c r="C66" s="373"/>
      <c r="D66" s="373"/>
      <c r="E66" s="373"/>
      <c r="F66" s="373"/>
      <c r="G66" s="373"/>
      <c r="H66" s="373"/>
      <c r="I66" s="373"/>
      <c r="J66" s="373"/>
      <c r="K66" s="373"/>
      <c r="L66" s="373"/>
      <c r="M66" s="373"/>
      <c r="N66" s="373"/>
      <c r="O66" s="373"/>
      <c r="P66" s="373"/>
      <c r="Q66" s="373"/>
      <c r="R66" s="373"/>
      <c r="S66" s="373"/>
      <c r="T66" s="373"/>
      <c r="U66" s="370"/>
    </row>
    <row r="67" spans="1:21" ht="13.8" hidden="1">
      <c r="A67" s="366">
        <v>2</v>
      </c>
      <c r="B67" s="375"/>
      <c r="C67" s="376" t="s">
        <v>274</v>
      </c>
      <c r="D67" s="377"/>
      <c r="E67" s="377"/>
      <c r="F67" s="377"/>
      <c r="G67" s="377"/>
      <c r="H67" s="377"/>
      <c r="I67" s="377"/>
      <c r="J67" s="377"/>
      <c r="K67" s="377"/>
      <c r="L67" s="377"/>
      <c r="M67" s="377"/>
      <c r="N67" s="377"/>
      <c r="O67" s="377"/>
      <c r="P67" s="378">
        <f>MAX(D67:F67)</f>
        <v>0</v>
      </c>
      <c r="Q67" s="378">
        <f>MAX(G67:I67)</f>
        <v>0</v>
      </c>
      <c r="R67" s="378">
        <f>MAX(J67:L67)</f>
        <v>0</v>
      </c>
      <c r="S67" s="378">
        <f>MAX(M67:O67)</f>
        <v>0</v>
      </c>
      <c r="T67" s="378">
        <f>MAX(P67:S67)</f>
        <v>0</v>
      </c>
      <c r="U67" s="370">
        <f>U65+1</f>
        <v>2</v>
      </c>
    </row>
    <row r="68" spans="1:21" ht="13.8" hidden="1">
      <c r="A68" s="366">
        <v>3</v>
      </c>
      <c r="B68" s="380"/>
      <c r="C68" s="381" t="s">
        <v>225</v>
      </c>
      <c r="D68" s="397"/>
      <c r="E68" s="397"/>
      <c r="F68" s="397"/>
      <c r="G68" s="397"/>
      <c r="H68" s="397"/>
      <c r="I68" s="397"/>
      <c r="J68" s="397"/>
      <c r="K68" s="397"/>
      <c r="L68" s="397"/>
      <c r="M68" s="397"/>
      <c r="N68" s="397"/>
      <c r="O68" s="397"/>
      <c r="P68" s="369">
        <f>D68+E68+F68</f>
        <v>0</v>
      </c>
      <c r="Q68" s="369">
        <f>G68+H68+I68</f>
        <v>0</v>
      </c>
      <c r="R68" s="369">
        <f>J68+K68+L68</f>
        <v>0</v>
      </c>
      <c r="S68" s="369">
        <f>M68+N68+O68</f>
        <v>0</v>
      </c>
      <c r="T68" s="369">
        <f>SUM(D68:O68)</f>
        <v>0</v>
      </c>
      <c r="U68" s="370">
        <f>U67+1</f>
        <v>3</v>
      </c>
    </row>
    <row r="69" spans="1:21" ht="13.8" hidden="1">
      <c r="A69" s="366">
        <v>4</v>
      </c>
      <c r="B69" s="380"/>
      <c r="C69" s="381" t="s">
        <v>226</v>
      </c>
      <c r="D69" s="397"/>
      <c r="E69" s="397"/>
      <c r="F69" s="397"/>
      <c r="G69" s="397"/>
      <c r="H69" s="397"/>
      <c r="I69" s="397"/>
      <c r="J69" s="397"/>
      <c r="K69" s="397"/>
      <c r="L69" s="397"/>
      <c r="M69" s="397"/>
      <c r="N69" s="397"/>
      <c r="O69" s="397"/>
      <c r="P69" s="369">
        <f>D69+E69+F69</f>
        <v>0</v>
      </c>
      <c r="Q69" s="369">
        <f>G69+H69+I69</f>
        <v>0</v>
      </c>
      <c r="R69" s="369">
        <f>J69+K69+L69</f>
        <v>0</v>
      </c>
      <c r="S69" s="369">
        <f>M69+N69+O69</f>
        <v>0</v>
      </c>
      <c r="T69" s="369">
        <f>SUM(D69:O69)</f>
        <v>0</v>
      </c>
      <c r="U69" s="370">
        <f>U68+1</f>
        <v>4</v>
      </c>
    </row>
    <row r="70" spans="1:21" ht="13.8" hidden="1">
      <c r="A70" s="366">
        <v>5</v>
      </c>
      <c r="B70" s="380"/>
      <c r="C70" s="381" t="s">
        <v>276</v>
      </c>
      <c r="D70" s="397"/>
      <c r="E70" s="397"/>
      <c r="F70" s="397"/>
      <c r="G70" s="397"/>
      <c r="H70" s="397"/>
      <c r="I70" s="397"/>
      <c r="J70" s="397"/>
      <c r="K70" s="397"/>
      <c r="L70" s="397"/>
      <c r="M70" s="397"/>
      <c r="N70" s="397"/>
      <c r="O70" s="397"/>
      <c r="P70" s="369">
        <f>D70+E70+F70</f>
        <v>0</v>
      </c>
      <c r="Q70" s="369">
        <f>G70+H70+I70</f>
        <v>0</v>
      </c>
      <c r="R70" s="369">
        <f>J70+K70+L70</f>
        <v>0</v>
      </c>
      <c r="S70" s="369">
        <f>M70+N70+O70</f>
        <v>0</v>
      </c>
      <c r="T70" s="369">
        <f>SUM(D70:O70)</f>
        <v>0</v>
      </c>
      <c r="U70" s="370">
        <f>U69+1</f>
        <v>5</v>
      </c>
    </row>
    <row r="71" spans="1:21" ht="13.8" hidden="1">
      <c r="A71" s="366">
        <v>6</v>
      </c>
      <c r="B71" s="382"/>
      <c r="C71" s="383" t="s">
        <v>275</v>
      </c>
      <c r="D71" s="397"/>
      <c r="E71" s="397"/>
      <c r="F71" s="397"/>
      <c r="G71" s="397"/>
      <c r="H71" s="397"/>
      <c r="I71" s="397"/>
      <c r="J71" s="397"/>
      <c r="K71" s="397"/>
      <c r="L71" s="397"/>
      <c r="M71" s="397"/>
      <c r="N71" s="397"/>
      <c r="O71" s="397"/>
      <c r="P71" s="369">
        <f>D71+E71+F71</f>
        <v>0</v>
      </c>
      <c r="Q71" s="369">
        <f>G71+H71+I71</f>
        <v>0</v>
      </c>
      <c r="R71" s="369">
        <f>J71+K71+L71</f>
        <v>0</v>
      </c>
      <c r="S71" s="369">
        <f>M71+N71+O71</f>
        <v>0</v>
      </c>
      <c r="T71" s="369">
        <f>SUM(D71:O71)</f>
        <v>0</v>
      </c>
      <c r="U71" s="370">
        <f>U70+1</f>
        <v>6</v>
      </c>
    </row>
    <row r="72" spans="1:21" ht="13.8">
      <c r="A72" s="366"/>
      <c r="B72" s="372" t="s">
        <v>408</v>
      </c>
      <c r="C72" s="373"/>
      <c r="D72" s="373"/>
      <c r="E72" s="373"/>
      <c r="F72" s="373"/>
      <c r="G72" s="373"/>
      <c r="H72" s="373"/>
      <c r="I72" s="373"/>
      <c r="J72" s="373"/>
      <c r="K72" s="373"/>
      <c r="L72" s="373"/>
      <c r="M72" s="373"/>
      <c r="N72" s="373"/>
      <c r="O72" s="373"/>
      <c r="P72" s="373"/>
      <c r="Q72" s="373"/>
      <c r="R72" s="373"/>
      <c r="S72" s="373"/>
      <c r="T72" s="373"/>
      <c r="U72" s="370"/>
    </row>
    <row r="73" spans="1:21" ht="13.8">
      <c r="A73" s="366">
        <v>7</v>
      </c>
      <c r="B73" s="375"/>
      <c r="C73" s="376" t="s">
        <v>274</v>
      </c>
      <c r="D73" s="398">
        <f>'7-ADA Monthly Service Rpt ART'!C27</f>
        <v>2</v>
      </c>
      <c r="E73" s="398">
        <f>'7-ADA Monthly Service Rpt ART'!D27</f>
        <v>2</v>
      </c>
      <c r="F73" s="398">
        <f>'7-ADA Monthly Service Rpt ART'!E27</f>
        <v>2</v>
      </c>
      <c r="G73" s="398">
        <f>'7-ADA Monthly Service Rpt ART'!F27</f>
        <v>2</v>
      </c>
      <c r="H73" s="398">
        <f>'7-ADA Monthly Service Rpt ART'!G27</f>
        <v>2</v>
      </c>
      <c r="I73" s="398">
        <f>'7-ADA Monthly Service Rpt ART'!H27</f>
        <v>2</v>
      </c>
      <c r="J73" s="398">
        <f>'7-ADA Monthly Service Rpt ART'!I27</f>
        <v>0</v>
      </c>
      <c r="K73" s="398">
        <f>'7-ADA Monthly Service Rpt ART'!J27</f>
        <v>0</v>
      </c>
      <c r="L73" s="398">
        <f>'7-ADA Monthly Service Rpt ART'!K27</f>
        <v>0</v>
      </c>
      <c r="M73" s="398">
        <f>'7-ADA Monthly Service Rpt ART'!L27</f>
        <v>0</v>
      </c>
      <c r="N73" s="398">
        <f>'7-ADA Monthly Service Rpt ART'!M27</f>
        <v>0</v>
      </c>
      <c r="O73" s="398">
        <f>'7-ADA Monthly Service Rpt ART'!N27</f>
        <v>0</v>
      </c>
      <c r="P73" s="378">
        <f>MAX(D73:F73)</f>
        <v>2</v>
      </c>
      <c r="Q73" s="378">
        <f>MAX(G73:I73)</f>
        <v>2</v>
      </c>
      <c r="R73" s="378">
        <f>MAX(J73:L73)</f>
        <v>0</v>
      </c>
      <c r="S73" s="378">
        <f>MAX(M73:O73)</f>
        <v>0</v>
      </c>
      <c r="T73" s="378">
        <f>MAX(P73:S73)</f>
        <v>2</v>
      </c>
      <c r="U73" s="370">
        <f>U71+1</f>
        <v>7</v>
      </c>
    </row>
    <row r="74" spans="1:21" ht="13.8">
      <c r="A74" s="366">
        <v>8</v>
      </c>
      <c r="B74" s="380"/>
      <c r="C74" s="381" t="s">
        <v>225</v>
      </c>
      <c r="D74" s="398">
        <f>'7-ADA Monthly Service Rpt ART'!C28</f>
        <v>2</v>
      </c>
      <c r="E74" s="398">
        <f>'7-ADA Monthly Service Rpt ART'!D28</f>
        <v>2</v>
      </c>
      <c r="F74" s="398">
        <f>'7-ADA Monthly Service Rpt ART'!E28</f>
        <v>2</v>
      </c>
      <c r="G74" s="398">
        <f>'7-ADA Monthly Service Rpt ART'!F28</f>
        <v>2</v>
      </c>
      <c r="H74" s="398">
        <f>'7-ADA Monthly Service Rpt ART'!G28</f>
        <v>2</v>
      </c>
      <c r="I74" s="398">
        <f>'7-ADA Monthly Service Rpt ART'!H28</f>
        <v>2</v>
      </c>
      <c r="J74" s="398">
        <f>'7-ADA Monthly Service Rpt ART'!I28</f>
        <v>0</v>
      </c>
      <c r="K74" s="398">
        <f>'7-ADA Monthly Service Rpt ART'!J28</f>
        <v>0</v>
      </c>
      <c r="L74" s="398">
        <f>'7-ADA Monthly Service Rpt ART'!K28</f>
        <v>0</v>
      </c>
      <c r="M74" s="398">
        <f>'7-ADA Monthly Service Rpt ART'!L28</f>
        <v>0</v>
      </c>
      <c r="N74" s="398">
        <f>'7-ADA Monthly Service Rpt ART'!M28</f>
        <v>0</v>
      </c>
      <c r="O74" s="398">
        <f>'7-ADA Monthly Service Rpt ART'!N28</f>
        <v>0</v>
      </c>
      <c r="P74" s="369">
        <f>D74+E74+F74</f>
        <v>6</v>
      </c>
      <c r="Q74" s="369">
        <f>G74+H74+I74</f>
        <v>6</v>
      </c>
      <c r="R74" s="369">
        <f>J74+K74+L74</f>
        <v>0</v>
      </c>
      <c r="S74" s="369">
        <f>M74+N74+O74</f>
        <v>0</v>
      </c>
      <c r="T74" s="369">
        <f>SUM(D74:O74)</f>
        <v>12</v>
      </c>
      <c r="U74" s="370">
        <f>U73+1</f>
        <v>8</v>
      </c>
    </row>
    <row r="75" spans="1:21" ht="13.8">
      <c r="A75" s="366">
        <v>9</v>
      </c>
      <c r="B75" s="380"/>
      <c r="C75" s="381" t="s">
        <v>226</v>
      </c>
      <c r="D75" s="398">
        <f>'7-ADA Monthly Service Rpt ART'!C29</f>
        <v>129</v>
      </c>
      <c r="E75" s="398">
        <f>'7-ADA Monthly Service Rpt ART'!D29</f>
        <v>93</v>
      </c>
      <c r="F75" s="398">
        <f>'7-ADA Monthly Service Rpt ART'!E29</f>
        <v>147</v>
      </c>
      <c r="G75" s="398">
        <f>'7-ADA Monthly Service Rpt ART'!F29</f>
        <v>104</v>
      </c>
      <c r="H75" s="398">
        <f>'7-ADA Monthly Service Rpt ART'!G29</f>
        <v>103</v>
      </c>
      <c r="I75" s="398">
        <f>'7-ADA Monthly Service Rpt ART'!H29</f>
        <v>119</v>
      </c>
      <c r="J75" s="398">
        <f>'7-ADA Monthly Service Rpt ART'!I29</f>
        <v>0</v>
      </c>
      <c r="K75" s="398">
        <f>'7-ADA Monthly Service Rpt ART'!J29</f>
        <v>0</v>
      </c>
      <c r="L75" s="398">
        <f>'7-ADA Monthly Service Rpt ART'!K29</f>
        <v>0</v>
      </c>
      <c r="M75" s="398">
        <f>'7-ADA Monthly Service Rpt ART'!L29</f>
        <v>0</v>
      </c>
      <c r="N75" s="398">
        <f>'7-ADA Monthly Service Rpt ART'!M29</f>
        <v>0</v>
      </c>
      <c r="O75" s="398">
        <f>'7-ADA Monthly Service Rpt ART'!N29</f>
        <v>0</v>
      </c>
      <c r="P75" s="369">
        <f>D75+E75+F75</f>
        <v>369</v>
      </c>
      <c r="Q75" s="369">
        <f>G75+H75+I75</f>
        <v>326</v>
      </c>
      <c r="R75" s="369">
        <f>J75+K75+L75</f>
        <v>0</v>
      </c>
      <c r="S75" s="369">
        <f>M75+N75+O75</f>
        <v>0</v>
      </c>
      <c r="T75" s="369">
        <f>SUM(D75:O75)</f>
        <v>695</v>
      </c>
      <c r="U75" s="370">
        <f>U74+1</f>
        <v>9</v>
      </c>
    </row>
    <row r="76" spans="1:21" ht="13.8">
      <c r="A76" s="366">
        <v>10</v>
      </c>
      <c r="B76" s="380"/>
      <c r="C76" s="381" t="s">
        <v>276</v>
      </c>
      <c r="D76" s="398">
        <f>'7-ADA Monthly Service Rpt ART'!C30</f>
        <v>1006</v>
      </c>
      <c r="E76" s="398">
        <f>'7-ADA Monthly Service Rpt ART'!D30</f>
        <v>840</v>
      </c>
      <c r="F76" s="398">
        <f>'7-ADA Monthly Service Rpt ART'!E30</f>
        <v>1296</v>
      </c>
      <c r="G76" s="398">
        <f>'7-ADA Monthly Service Rpt ART'!F30</f>
        <v>851</v>
      </c>
      <c r="H76" s="398">
        <f>'7-ADA Monthly Service Rpt ART'!G30</f>
        <v>885</v>
      </c>
      <c r="I76" s="398">
        <f>'7-ADA Monthly Service Rpt ART'!H30</f>
        <v>1018</v>
      </c>
      <c r="J76" s="398">
        <f>'7-ADA Monthly Service Rpt ART'!I30</f>
        <v>0</v>
      </c>
      <c r="K76" s="398">
        <f>'7-ADA Monthly Service Rpt ART'!J30</f>
        <v>0</v>
      </c>
      <c r="L76" s="398">
        <f>'7-ADA Monthly Service Rpt ART'!K30</f>
        <v>0</v>
      </c>
      <c r="M76" s="398">
        <f>'7-ADA Monthly Service Rpt ART'!L30</f>
        <v>0</v>
      </c>
      <c r="N76" s="398">
        <f>'7-ADA Monthly Service Rpt ART'!M30</f>
        <v>0</v>
      </c>
      <c r="O76" s="398">
        <f>'7-ADA Monthly Service Rpt ART'!N30</f>
        <v>0</v>
      </c>
      <c r="P76" s="369">
        <f>D76+E76+F76</f>
        <v>3142</v>
      </c>
      <c r="Q76" s="369">
        <f>G76+H76+I76</f>
        <v>2754</v>
      </c>
      <c r="R76" s="369">
        <f>J76+K76+L76</f>
        <v>0</v>
      </c>
      <c r="S76" s="369">
        <f>M76+N76+O76</f>
        <v>0</v>
      </c>
      <c r="T76" s="369">
        <f>SUM(D76:O76)</f>
        <v>5896</v>
      </c>
      <c r="U76" s="370">
        <f>U75+1</f>
        <v>10</v>
      </c>
    </row>
    <row r="77" spans="1:21" ht="13.8">
      <c r="A77" s="366">
        <v>11</v>
      </c>
      <c r="B77" s="382"/>
      <c r="C77" s="383" t="s">
        <v>275</v>
      </c>
      <c r="D77" s="398">
        <f>'7-ADA Monthly Service Rpt ART'!C31</f>
        <v>57</v>
      </c>
      <c r="E77" s="398">
        <f>'7-ADA Monthly Service Rpt ART'!D31</f>
        <v>40</v>
      </c>
      <c r="F77" s="398">
        <f>'7-ADA Monthly Service Rpt ART'!E31</f>
        <v>68</v>
      </c>
      <c r="G77" s="398">
        <f>'7-ADA Monthly Service Rpt ART'!F31</f>
        <v>49</v>
      </c>
      <c r="H77" s="398">
        <f>'7-ADA Monthly Service Rpt ART'!G31</f>
        <v>47</v>
      </c>
      <c r="I77" s="398">
        <f>'7-ADA Monthly Service Rpt ART'!H31</f>
        <v>53</v>
      </c>
      <c r="J77" s="398">
        <f>'7-ADA Monthly Service Rpt ART'!I31</f>
        <v>0</v>
      </c>
      <c r="K77" s="398">
        <f>'7-ADA Monthly Service Rpt ART'!J31</f>
        <v>0</v>
      </c>
      <c r="L77" s="398">
        <f>'7-ADA Monthly Service Rpt ART'!K31</f>
        <v>0</v>
      </c>
      <c r="M77" s="398">
        <f>'7-ADA Monthly Service Rpt ART'!L31</f>
        <v>0</v>
      </c>
      <c r="N77" s="398">
        <f>'7-ADA Monthly Service Rpt ART'!M31</f>
        <v>0</v>
      </c>
      <c r="O77" s="398">
        <f>'7-ADA Monthly Service Rpt ART'!N31</f>
        <v>0</v>
      </c>
      <c r="P77" s="369">
        <f>D77+E77+F77</f>
        <v>165</v>
      </c>
      <c r="Q77" s="369">
        <f>G77+H77+I77</f>
        <v>149</v>
      </c>
      <c r="R77" s="369">
        <f>J77+K77+L77</f>
        <v>0</v>
      </c>
      <c r="S77" s="369">
        <f>M77+N77+O77</f>
        <v>0</v>
      </c>
      <c r="T77" s="369">
        <f>SUM(D77:O77)</f>
        <v>314</v>
      </c>
      <c r="U77" s="370">
        <f>U76+1</f>
        <v>11</v>
      </c>
    </row>
    <row r="78" spans="1:21" ht="13.8" hidden="1">
      <c r="A78" s="366"/>
      <c r="B78" s="372" t="s">
        <v>409</v>
      </c>
      <c r="C78" s="386"/>
      <c r="D78" s="387"/>
      <c r="E78" s="387"/>
      <c r="F78" s="387"/>
      <c r="G78" s="387"/>
      <c r="H78" s="387"/>
      <c r="I78" s="387"/>
      <c r="J78" s="387"/>
      <c r="K78" s="387"/>
      <c r="L78" s="387"/>
      <c r="M78" s="387"/>
      <c r="N78" s="387"/>
      <c r="O78" s="387"/>
      <c r="P78" s="388"/>
      <c r="Q78" s="388"/>
      <c r="R78" s="388"/>
      <c r="S78" s="388"/>
      <c r="T78" s="388"/>
      <c r="U78" s="370"/>
    </row>
    <row r="79" spans="1:21" ht="13.8" hidden="1">
      <c r="A79" s="366">
        <v>12</v>
      </c>
      <c r="B79" s="375"/>
      <c r="C79" s="376" t="s">
        <v>410</v>
      </c>
      <c r="D79" s="377"/>
      <c r="E79" s="377"/>
      <c r="F79" s="377"/>
      <c r="G79" s="377"/>
      <c r="H79" s="377"/>
      <c r="I79" s="377"/>
      <c r="J79" s="377"/>
      <c r="K79" s="377"/>
      <c r="L79" s="377"/>
      <c r="M79" s="377"/>
      <c r="N79" s="377"/>
      <c r="O79" s="377"/>
      <c r="P79" s="378">
        <f>MAX(D79:F79)</f>
        <v>0</v>
      </c>
      <c r="Q79" s="378">
        <f>MAX(G79:I79)</f>
        <v>0</v>
      </c>
      <c r="R79" s="378">
        <f>MAX(J79:L79)</f>
        <v>0</v>
      </c>
      <c r="S79" s="378">
        <f>MAX(M79:O79)</f>
        <v>0</v>
      </c>
      <c r="T79" s="378">
        <f>MAX(P79:S79)</f>
        <v>0</v>
      </c>
      <c r="U79" s="370">
        <f>U77+1</f>
        <v>12</v>
      </c>
    </row>
    <row r="80" spans="1:21" ht="13.8" hidden="1">
      <c r="A80" s="366">
        <v>13</v>
      </c>
      <c r="B80" s="380"/>
      <c r="C80" s="381" t="s">
        <v>411</v>
      </c>
      <c r="D80" s="377"/>
      <c r="E80" s="377"/>
      <c r="F80" s="377"/>
      <c r="G80" s="377"/>
      <c r="H80" s="377"/>
      <c r="I80" s="377"/>
      <c r="J80" s="377"/>
      <c r="K80" s="397"/>
      <c r="L80" s="397"/>
      <c r="M80" s="397"/>
      <c r="N80" s="397"/>
      <c r="O80" s="397"/>
      <c r="P80" s="369">
        <f>D80+E80+F80</f>
        <v>0</v>
      </c>
      <c r="Q80" s="369">
        <f>G80+H80+I80</f>
        <v>0</v>
      </c>
      <c r="R80" s="369">
        <f>J80+K80+L80</f>
        <v>0</v>
      </c>
      <c r="S80" s="369">
        <f>M80+N80+O80</f>
        <v>0</v>
      </c>
      <c r="T80" s="369">
        <f>SUM(D80:O80)</f>
        <v>0</v>
      </c>
      <c r="U80" s="370">
        <f>U79+1</f>
        <v>13</v>
      </c>
    </row>
    <row r="81" spans="1:21" ht="13.8" hidden="1">
      <c r="A81" s="366">
        <v>14</v>
      </c>
      <c r="B81" s="380"/>
      <c r="C81" s="381" t="s">
        <v>226</v>
      </c>
      <c r="D81" s="377"/>
      <c r="E81" s="377"/>
      <c r="F81" s="377"/>
      <c r="G81" s="377"/>
      <c r="H81" s="377"/>
      <c r="I81" s="377"/>
      <c r="J81" s="377"/>
      <c r="K81" s="397"/>
      <c r="L81" s="397"/>
      <c r="M81" s="397"/>
      <c r="N81" s="397"/>
      <c r="O81" s="397"/>
      <c r="P81" s="369">
        <f>D81+E81+F81</f>
        <v>0</v>
      </c>
      <c r="Q81" s="369">
        <f>G81+H81+I81</f>
        <v>0</v>
      </c>
      <c r="R81" s="369">
        <f>J81+K81+L81</f>
        <v>0</v>
      </c>
      <c r="S81" s="369">
        <f>M81+N81+O81</f>
        <v>0</v>
      </c>
      <c r="T81" s="369">
        <f>SUM(D81:O81)</f>
        <v>0</v>
      </c>
      <c r="U81" s="370">
        <f>U80+1</f>
        <v>14</v>
      </c>
    </row>
    <row r="82" spans="1:21" ht="13.8" hidden="1">
      <c r="A82" s="366">
        <v>15</v>
      </c>
      <c r="B82" s="380"/>
      <c r="C82" s="381" t="s">
        <v>412</v>
      </c>
      <c r="D82" s="377"/>
      <c r="E82" s="377"/>
      <c r="F82" s="377"/>
      <c r="G82" s="377"/>
      <c r="H82" s="377"/>
      <c r="I82" s="377"/>
      <c r="J82" s="377"/>
      <c r="K82" s="397"/>
      <c r="L82" s="397"/>
      <c r="M82" s="397"/>
      <c r="N82" s="397"/>
      <c r="O82" s="397"/>
      <c r="P82" s="369">
        <f>D82+E82+F82</f>
        <v>0</v>
      </c>
      <c r="Q82" s="369">
        <f>G82+H82+I82</f>
        <v>0</v>
      </c>
      <c r="R82" s="369">
        <f>J82+K82+L82</f>
        <v>0</v>
      </c>
      <c r="S82" s="369">
        <f>M82+N82+O82</f>
        <v>0</v>
      </c>
      <c r="T82" s="369">
        <f>SUM(D82:O82)</f>
        <v>0</v>
      </c>
      <c r="U82" s="370">
        <f>U81+1</f>
        <v>15</v>
      </c>
    </row>
    <row r="83" spans="1:21" ht="13.8" hidden="1">
      <c r="A83" s="366">
        <v>16</v>
      </c>
      <c r="B83" s="382"/>
      <c r="C83" s="383" t="s">
        <v>413</v>
      </c>
      <c r="D83" s="377"/>
      <c r="E83" s="377"/>
      <c r="F83" s="377"/>
      <c r="G83" s="377"/>
      <c r="H83" s="377"/>
      <c r="I83" s="377"/>
      <c r="J83" s="377"/>
      <c r="K83" s="397"/>
      <c r="L83" s="397"/>
      <c r="M83" s="397"/>
      <c r="N83" s="397"/>
      <c r="O83" s="397"/>
      <c r="P83" s="369">
        <f>D83+E83+F83</f>
        <v>0</v>
      </c>
      <c r="Q83" s="369">
        <f>G83+H83+I83</f>
        <v>0</v>
      </c>
      <c r="R83" s="369">
        <f>J83+K83+L83</f>
        <v>0</v>
      </c>
      <c r="S83" s="369">
        <f>M83+N83+O83</f>
        <v>0</v>
      </c>
      <c r="T83" s="369">
        <f>SUM(D83:O83)</f>
        <v>0</v>
      </c>
      <c r="U83" s="370">
        <f>U82+1</f>
        <v>16</v>
      </c>
    </row>
    <row r="84" spans="1:21" ht="13.8" hidden="1">
      <c r="A84" s="366"/>
      <c r="B84" s="372" t="s">
        <v>414</v>
      </c>
      <c r="C84" s="386"/>
      <c r="D84" s="388"/>
      <c r="E84" s="388"/>
      <c r="F84" s="388"/>
      <c r="G84" s="388"/>
      <c r="H84" s="388"/>
      <c r="I84" s="388"/>
      <c r="J84" s="388"/>
      <c r="K84" s="388"/>
      <c r="L84" s="388"/>
      <c r="M84" s="388"/>
      <c r="N84" s="388"/>
      <c r="O84" s="388"/>
      <c r="P84" s="388"/>
      <c r="Q84" s="388"/>
      <c r="R84" s="388"/>
      <c r="S84" s="388"/>
      <c r="T84" s="388"/>
      <c r="U84" s="370"/>
    </row>
    <row r="85" spans="1:21" ht="13.8" hidden="1">
      <c r="A85" s="366">
        <v>17</v>
      </c>
      <c r="B85" s="375"/>
      <c r="C85" s="376" t="s">
        <v>410</v>
      </c>
      <c r="D85" s="377"/>
      <c r="E85" s="377"/>
      <c r="F85" s="377"/>
      <c r="G85" s="377"/>
      <c r="H85" s="377"/>
      <c r="I85" s="377"/>
      <c r="J85" s="377"/>
      <c r="K85" s="377"/>
      <c r="L85" s="377"/>
      <c r="M85" s="377"/>
      <c r="N85" s="377"/>
      <c r="O85" s="377"/>
      <c r="P85" s="378">
        <f>MAX(D85:F85)</f>
        <v>0</v>
      </c>
      <c r="Q85" s="378">
        <f>MAX(G85:I85)</f>
        <v>0</v>
      </c>
      <c r="R85" s="378">
        <f>MAX(J85:L85)</f>
        <v>0</v>
      </c>
      <c r="S85" s="378">
        <f>MAX(M85:O85)</f>
        <v>0</v>
      </c>
      <c r="T85" s="378">
        <f>MAX(P85:S85)</f>
        <v>0</v>
      </c>
      <c r="U85" s="370">
        <f>U83+1</f>
        <v>17</v>
      </c>
    </row>
    <row r="86" spans="1:21" ht="13.8" hidden="1">
      <c r="A86" s="366">
        <v>18</v>
      </c>
      <c r="B86" s="380"/>
      <c r="C86" s="381" t="s">
        <v>411</v>
      </c>
      <c r="D86" s="377"/>
      <c r="E86" s="377"/>
      <c r="F86" s="377"/>
      <c r="G86" s="377"/>
      <c r="H86" s="377"/>
      <c r="I86" s="377"/>
      <c r="J86" s="377"/>
      <c r="K86" s="377"/>
      <c r="L86" s="377"/>
      <c r="M86" s="377"/>
      <c r="N86" s="377"/>
      <c r="O86" s="377"/>
      <c r="P86" s="369">
        <f>D86+E86+F86</f>
        <v>0</v>
      </c>
      <c r="Q86" s="369">
        <f>G86+H86+I86</f>
        <v>0</v>
      </c>
      <c r="R86" s="369">
        <f>J86+K86+L86</f>
        <v>0</v>
      </c>
      <c r="S86" s="369">
        <f>M86+N86+O86</f>
        <v>0</v>
      </c>
      <c r="T86" s="369">
        <f>SUM(D86:O86)</f>
        <v>0</v>
      </c>
      <c r="U86" s="370">
        <f>U85+1</f>
        <v>18</v>
      </c>
    </row>
    <row r="87" spans="1:21" ht="13.8" hidden="1">
      <c r="A87" s="366">
        <v>19</v>
      </c>
      <c r="B87" s="380"/>
      <c r="C87" s="381" t="s">
        <v>226</v>
      </c>
      <c r="D87" s="377"/>
      <c r="E87" s="377"/>
      <c r="F87" s="377"/>
      <c r="G87" s="377"/>
      <c r="H87" s="377"/>
      <c r="I87" s="377"/>
      <c r="J87" s="377"/>
      <c r="K87" s="377"/>
      <c r="L87" s="377"/>
      <c r="M87" s="377"/>
      <c r="N87" s="377"/>
      <c r="O87" s="377"/>
      <c r="P87" s="369">
        <f>D87+E87+F87</f>
        <v>0</v>
      </c>
      <c r="Q87" s="369">
        <f>G87+H87+I87</f>
        <v>0</v>
      </c>
      <c r="R87" s="369">
        <f>J87+K87+L87</f>
        <v>0</v>
      </c>
      <c r="S87" s="369">
        <f>M87+N87+O87</f>
        <v>0</v>
      </c>
      <c r="T87" s="369">
        <f>SUM(D87:O87)</f>
        <v>0</v>
      </c>
      <c r="U87" s="370">
        <f>U86+1</f>
        <v>19</v>
      </c>
    </row>
    <row r="88" spans="1:21" ht="13.8" hidden="1">
      <c r="A88" s="366">
        <v>20</v>
      </c>
      <c r="B88" s="380"/>
      <c r="C88" s="381" t="s">
        <v>412</v>
      </c>
      <c r="D88" s="377"/>
      <c r="E88" s="377"/>
      <c r="F88" s="377"/>
      <c r="G88" s="377"/>
      <c r="H88" s="377"/>
      <c r="I88" s="377"/>
      <c r="J88" s="377"/>
      <c r="K88" s="377"/>
      <c r="L88" s="377"/>
      <c r="M88" s="377"/>
      <c r="N88" s="377"/>
      <c r="O88" s="377"/>
      <c r="P88" s="369">
        <f>D88+E88+F88</f>
        <v>0</v>
      </c>
      <c r="Q88" s="369">
        <f>G88+H88+I88</f>
        <v>0</v>
      </c>
      <c r="R88" s="369">
        <f>J88+K88+L88</f>
        <v>0</v>
      </c>
      <c r="S88" s="369">
        <f>M88+N88+O88</f>
        <v>0</v>
      </c>
      <c r="T88" s="369">
        <f>SUM(D88:O88)</f>
        <v>0</v>
      </c>
      <c r="U88" s="370">
        <f>U87+1</f>
        <v>20</v>
      </c>
    </row>
    <row r="89" spans="1:21" ht="13.8" hidden="1">
      <c r="A89" s="366">
        <v>21</v>
      </c>
      <c r="B89" s="382"/>
      <c r="C89" s="383" t="s">
        <v>413</v>
      </c>
      <c r="D89" s="377"/>
      <c r="E89" s="377"/>
      <c r="F89" s="377"/>
      <c r="G89" s="377"/>
      <c r="H89" s="377"/>
      <c r="I89" s="377"/>
      <c r="J89" s="377"/>
      <c r="K89" s="377"/>
      <c r="L89" s="377"/>
      <c r="M89" s="377"/>
      <c r="N89" s="377"/>
      <c r="O89" s="377"/>
      <c r="P89" s="369">
        <f>D89+E89+F89</f>
        <v>0</v>
      </c>
      <c r="Q89" s="369">
        <f>G89+H89+I89</f>
        <v>0</v>
      </c>
      <c r="R89" s="369">
        <f>J89+K89+L89</f>
        <v>0</v>
      </c>
      <c r="S89" s="369">
        <f>M89+N89+O89</f>
        <v>0</v>
      </c>
      <c r="T89" s="369">
        <f>SUM(D89:O89)</f>
        <v>0</v>
      </c>
      <c r="U89" s="370">
        <f>U88+1</f>
        <v>21</v>
      </c>
    </row>
    <row r="90" spans="1:21" ht="13.8" thickBot="1">
      <c r="A90" s="389"/>
      <c r="B90" s="390"/>
      <c r="C90" s="391"/>
      <c r="D90" s="392" t="s">
        <v>395</v>
      </c>
      <c r="E90" s="392" t="s">
        <v>396</v>
      </c>
      <c r="F90" s="392" t="s">
        <v>397</v>
      </c>
      <c r="G90" s="392" t="s">
        <v>398</v>
      </c>
      <c r="H90" s="392" t="s">
        <v>399</v>
      </c>
      <c r="I90" s="392" t="s">
        <v>400</v>
      </c>
      <c r="J90" s="392" t="s">
        <v>401</v>
      </c>
      <c r="K90" s="392" t="s">
        <v>402</v>
      </c>
      <c r="L90" s="392" t="s">
        <v>403</v>
      </c>
      <c r="M90" s="392" t="s">
        <v>404</v>
      </c>
      <c r="N90" s="392" t="s">
        <v>405</v>
      </c>
      <c r="O90" s="392" t="s">
        <v>406</v>
      </c>
      <c r="P90" s="390"/>
      <c r="Q90" s="390"/>
      <c r="R90" s="390"/>
      <c r="S90" s="390"/>
      <c r="T90" s="390"/>
      <c r="U90" s="393"/>
    </row>
  </sheetData>
  <mergeCells count="5">
    <mergeCell ref="B6:C6"/>
    <mergeCell ref="B35:C35"/>
    <mergeCell ref="B64:C64"/>
    <mergeCell ref="A1:U1"/>
    <mergeCell ref="A2:U2"/>
  </mergeCells>
  <dataValidations count="3">
    <dataValidation allowBlank="1" showInputMessage="1" showErrorMessage="1" promptTitle="Data Entry" prompt="Please check the operation mode on &quot;Overview&quot; page to activate the responding section to green." sqref="D9:O9 D27 D21 D15:O19"/>
    <dataValidation type="textLength" allowBlank="1" showInputMessage="1" showErrorMessage="1" errorTitle="Not editable" error="This field cannot be edited" sqref="P7:T7 P36:T36 P65:T65">
      <formula1>75</formula1>
      <formula2>76</formula2>
    </dataValidation>
    <dataValidation type="whole" allowBlank="1" showInputMessage="1" showErrorMessage="1" errorTitle="Invalid Data" error="Enter only Monday-Friday operating days for the month" sqref="D36:O36 D7:O7 D65:O65">
      <formula1>0</formula1>
      <formula2>23</formula2>
    </dataValidation>
  </dataValidations>
  <pageMargins left="0.7" right="0.7" top="0.75" bottom="0.75" header="0.3" footer="0.3"/>
  <pageSetup scale="69" orientation="portrait" r:id="rId1"/>
  <customProperties>
    <customPr name="DrillPoint.FROID" r:id="rId2"/>
    <customPr name="DrillPoint.Mode" r:id="rId3"/>
    <customPr name="DrillPoint.SaveEntireSheet" r:id="rId4"/>
    <customPr name="DrillPoint.Subsheet" r:id="rId5"/>
    <customPr name="DrillPoint.WorksheetID" r:id="rId6"/>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opLeftCell="B1" workbookViewId="0">
      <selection activeCell="F16" sqref="F16"/>
    </sheetView>
  </sheetViews>
  <sheetFormatPr defaultRowHeight="13.2"/>
  <cols>
    <col min="1" max="1" width="9.5546875" customWidth="1"/>
    <col min="2" max="2" width="11.6640625" customWidth="1"/>
    <col min="3" max="3" width="7.6640625" customWidth="1"/>
    <col min="4" max="4" width="14.6640625" customWidth="1"/>
    <col min="5" max="5" width="23.6640625" customWidth="1"/>
    <col min="6" max="6" width="7.6640625" customWidth="1"/>
    <col min="7" max="9" width="9.6640625" customWidth="1"/>
    <col min="10" max="10" width="13.6640625" customWidth="1"/>
  </cols>
  <sheetData>
    <row r="1" spans="1:10">
      <c r="A1" t="s">
        <v>24</v>
      </c>
    </row>
    <row r="2" spans="1:10">
      <c r="A2" s="14">
        <v>36708</v>
      </c>
      <c r="B2" s="15" t="s">
        <v>25</v>
      </c>
      <c r="D2" s="14">
        <f ca="1">TODAY()</f>
        <v>43903</v>
      </c>
    </row>
    <row r="3" spans="1:10">
      <c r="F3" s="12" t="s">
        <v>29</v>
      </c>
      <c r="G3" s="12" t="s">
        <v>29</v>
      </c>
      <c r="H3" s="12" t="s">
        <v>29</v>
      </c>
      <c r="I3" s="12" t="s">
        <v>30</v>
      </c>
      <c r="J3" s="12" t="s">
        <v>30</v>
      </c>
    </row>
    <row r="4" spans="1:10">
      <c r="A4" s="12" t="s">
        <v>3</v>
      </c>
      <c r="B4" s="12" t="s">
        <v>13</v>
      </c>
      <c r="C4" s="12" t="s">
        <v>15</v>
      </c>
      <c r="D4" s="12" t="s">
        <v>13</v>
      </c>
      <c r="E4" s="12" t="s">
        <v>2</v>
      </c>
      <c r="F4" s="12" t="s">
        <v>0</v>
      </c>
      <c r="G4" s="12" t="s">
        <v>1</v>
      </c>
      <c r="H4" s="12" t="s">
        <v>26</v>
      </c>
      <c r="I4" s="12" t="s">
        <v>26</v>
      </c>
      <c r="J4" s="12" t="s">
        <v>27</v>
      </c>
    </row>
    <row r="5" spans="1:10">
      <c r="A5" s="12"/>
      <c r="B5" s="12" t="s">
        <v>16</v>
      </c>
      <c r="C5" s="12"/>
      <c r="D5" s="12" t="s">
        <v>12</v>
      </c>
      <c r="E5" s="12"/>
    </row>
    <row r="8" spans="1:10">
      <c r="A8" s="15" t="e">
        <f>#REF!</f>
        <v>#REF!</v>
      </c>
      <c r="B8" s="15" t="e">
        <f>#REF!</f>
        <v>#REF!</v>
      </c>
      <c r="C8" s="15" t="e">
        <f>#REF!</f>
        <v>#REF!</v>
      </c>
      <c r="D8" s="15" t="e">
        <f>#REF!</f>
        <v>#REF!</v>
      </c>
      <c r="E8" s="15" t="e">
        <f>#REF!</f>
        <v>#REF!</v>
      </c>
      <c r="F8" s="16" t="e">
        <f>#REF!</f>
        <v>#REF!</v>
      </c>
      <c r="G8" s="16" t="e">
        <f>#REF!</f>
        <v>#REF!</v>
      </c>
      <c r="H8" s="17" t="e">
        <f>#REF!</f>
        <v>#REF!</v>
      </c>
      <c r="I8" s="17" t="e">
        <f>#REF!</f>
        <v>#REF!</v>
      </c>
      <c r="J8" s="18" t="e">
        <f>#REF!</f>
        <v>#REF!</v>
      </c>
    </row>
    <row r="9" spans="1:10">
      <c r="A9" s="15" t="e">
        <f>#REF!</f>
        <v>#REF!</v>
      </c>
      <c r="B9" s="15" t="e">
        <f>#REF!</f>
        <v>#REF!</v>
      </c>
      <c r="C9" s="15" t="e">
        <f>#REF!</f>
        <v>#REF!</v>
      </c>
      <c r="D9" s="15" t="e">
        <f>#REF!</f>
        <v>#REF!</v>
      </c>
      <c r="E9" s="15" t="e">
        <f>#REF!</f>
        <v>#REF!</v>
      </c>
      <c r="F9" s="16" t="e">
        <f>#REF!</f>
        <v>#REF!</v>
      </c>
      <c r="G9" s="16" t="e">
        <f>#REF!</f>
        <v>#REF!</v>
      </c>
      <c r="H9" s="17" t="e">
        <f>#REF!</f>
        <v>#REF!</v>
      </c>
      <c r="I9" s="17" t="e">
        <f>#REF!</f>
        <v>#REF!</v>
      </c>
      <c r="J9" s="18" t="e">
        <f>#REF!</f>
        <v>#REF!</v>
      </c>
    </row>
    <row r="10" spans="1:10">
      <c r="A10" s="15" t="e">
        <f>#REF!</f>
        <v>#REF!</v>
      </c>
      <c r="B10" s="15" t="e">
        <f>#REF!</f>
        <v>#REF!</v>
      </c>
      <c r="C10" s="15" t="e">
        <f>#REF!</f>
        <v>#REF!</v>
      </c>
      <c r="D10" s="15" t="e">
        <f>#REF!</f>
        <v>#REF!</v>
      </c>
      <c r="E10" s="15" t="e">
        <f>#REF!</f>
        <v>#REF!</v>
      </c>
      <c r="F10" s="16" t="e">
        <f>#REF!</f>
        <v>#REF!</v>
      </c>
      <c r="G10" s="16" t="e">
        <f>#REF!</f>
        <v>#REF!</v>
      </c>
      <c r="H10" s="17" t="e">
        <f>#REF!</f>
        <v>#REF!</v>
      </c>
      <c r="I10" s="17" t="e">
        <f>#REF!</f>
        <v>#REF!</v>
      </c>
      <c r="J10" s="18" t="e">
        <f>#REF!</f>
        <v>#REF!</v>
      </c>
    </row>
    <row r="11" spans="1:10">
      <c r="A11" s="15" t="e">
        <f>#REF!</f>
        <v>#REF!</v>
      </c>
      <c r="B11" s="15" t="e">
        <f>#REF!</f>
        <v>#REF!</v>
      </c>
      <c r="C11" s="15" t="e">
        <f>#REF!</f>
        <v>#REF!</v>
      </c>
      <c r="D11" s="15" t="e">
        <f>#REF!</f>
        <v>#REF!</v>
      </c>
      <c r="E11" s="15" t="e">
        <f>#REF!</f>
        <v>#REF!</v>
      </c>
      <c r="F11" s="16" t="e">
        <f>#REF!</f>
        <v>#REF!</v>
      </c>
      <c r="G11" s="16" t="e">
        <f>#REF!</f>
        <v>#REF!</v>
      </c>
      <c r="H11" s="17" t="e">
        <f>#REF!</f>
        <v>#REF!</v>
      </c>
      <c r="I11" s="17" t="e">
        <f>#REF!</f>
        <v>#REF!</v>
      </c>
      <c r="J11" s="18" t="e">
        <f>#REF!</f>
        <v>#REF!</v>
      </c>
    </row>
    <row r="12" spans="1:10">
      <c r="A12" s="15" t="e">
        <f>#REF!</f>
        <v>#REF!</v>
      </c>
      <c r="B12" s="15" t="e">
        <f>#REF!</f>
        <v>#REF!</v>
      </c>
      <c r="C12" s="15" t="e">
        <f>#REF!</f>
        <v>#REF!</v>
      </c>
      <c r="D12" s="15" t="e">
        <f>#REF!</f>
        <v>#REF!</v>
      </c>
      <c r="E12" s="15" t="e">
        <f>#REF!</f>
        <v>#REF!</v>
      </c>
      <c r="F12" s="16" t="e">
        <f>#REF!</f>
        <v>#REF!</v>
      </c>
      <c r="G12" s="16" t="e">
        <f>#REF!</f>
        <v>#REF!</v>
      </c>
      <c r="H12" s="17" t="e">
        <f>#REF!</f>
        <v>#REF!</v>
      </c>
      <c r="I12" s="17" t="e">
        <f>#REF!</f>
        <v>#REF!</v>
      </c>
      <c r="J12" s="18" t="e">
        <f>#REF!</f>
        <v>#REF!</v>
      </c>
    </row>
    <row r="13" spans="1:10">
      <c r="A13" s="15" t="e">
        <f>#REF!</f>
        <v>#REF!</v>
      </c>
      <c r="B13" s="15" t="e">
        <f>#REF!</f>
        <v>#REF!</v>
      </c>
      <c r="C13" s="15" t="e">
        <f>#REF!</f>
        <v>#REF!</v>
      </c>
      <c r="D13" s="15" t="e">
        <f>#REF!</f>
        <v>#REF!</v>
      </c>
      <c r="E13" s="15" t="e">
        <f>#REF!</f>
        <v>#REF!</v>
      </c>
      <c r="F13" s="16" t="e">
        <f>#REF!</f>
        <v>#REF!</v>
      </c>
      <c r="G13" s="16" t="e">
        <f>#REF!</f>
        <v>#REF!</v>
      </c>
      <c r="H13" s="17" t="e">
        <f>#REF!</f>
        <v>#REF!</v>
      </c>
      <c r="I13" s="17" t="e">
        <f>#REF!</f>
        <v>#REF!</v>
      </c>
      <c r="J13" s="18" t="e">
        <f>#REF!</f>
        <v>#REF!</v>
      </c>
    </row>
    <row r="14" spans="1:10">
      <c r="A14" s="15" t="e">
        <f>#REF!</f>
        <v>#REF!</v>
      </c>
      <c r="B14" s="15" t="e">
        <f>#REF!</f>
        <v>#REF!</v>
      </c>
      <c r="C14" s="15" t="e">
        <f>#REF!</f>
        <v>#REF!</v>
      </c>
      <c r="D14" s="15" t="e">
        <f>#REF!</f>
        <v>#REF!</v>
      </c>
      <c r="E14" s="15" t="e">
        <f>#REF!</f>
        <v>#REF!</v>
      </c>
      <c r="F14" s="16" t="e">
        <f>#REF!</f>
        <v>#REF!</v>
      </c>
      <c r="G14" s="16" t="e">
        <f>#REF!</f>
        <v>#REF!</v>
      </c>
      <c r="H14" s="17" t="e">
        <f>#REF!</f>
        <v>#REF!</v>
      </c>
      <c r="I14" s="17" t="e">
        <f>#REF!</f>
        <v>#REF!</v>
      </c>
      <c r="J14" s="18" t="e">
        <f>#REF!</f>
        <v>#REF!</v>
      </c>
    </row>
    <row r="15" spans="1:10">
      <c r="A15" s="15"/>
      <c r="E15" s="11" t="s">
        <v>10</v>
      </c>
      <c r="F15" s="20" t="e">
        <f>SUM(F8:F14)</f>
        <v>#REF!</v>
      </c>
      <c r="G15" s="20" t="e">
        <f>SUM(G8:G14)</f>
        <v>#REF!</v>
      </c>
      <c r="H15" s="20" t="e">
        <f>SUM(H8:H14)</f>
        <v>#REF!</v>
      </c>
      <c r="I15" s="20" t="e">
        <f>SUM(I8:I14)</f>
        <v>#REF!</v>
      </c>
      <c r="J15" s="21" t="e">
        <f>SUM(J8:J14)</f>
        <v>#REF!</v>
      </c>
    </row>
    <row r="16" spans="1:10">
      <c r="J16" s="19"/>
    </row>
    <row r="17" spans="1:10">
      <c r="J17" s="19"/>
    </row>
    <row r="18" spans="1:10">
      <c r="A18" s="15" t="e">
        <f>#REF!</f>
        <v>#REF!</v>
      </c>
      <c r="B18" s="15" t="e">
        <f>#REF!</f>
        <v>#REF!</v>
      </c>
      <c r="C18" s="15" t="e">
        <f>#REF!</f>
        <v>#REF!</v>
      </c>
      <c r="D18" s="15" t="e">
        <f>#REF!</f>
        <v>#REF!</v>
      </c>
      <c r="E18" s="15" t="e">
        <f>#REF!</f>
        <v>#REF!</v>
      </c>
      <c r="F18" s="16" t="e">
        <f>#REF!</f>
        <v>#REF!</v>
      </c>
      <c r="G18" s="16" t="e">
        <f>#REF!</f>
        <v>#REF!</v>
      </c>
      <c r="H18" s="17" t="e">
        <f>#REF!</f>
        <v>#REF!</v>
      </c>
      <c r="I18" s="17" t="e">
        <f>#REF!</f>
        <v>#REF!</v>
      </c>
      <c r="J18" s="18" t="e">
        <f>#REF!</f>
        <v>#REF!</v>
      </c>
    </row>
    <row r="19" spans="1:10">
      <c r="A19" s="15" t="e">
        <f>#REF!</f>
        <v>#REF!</v>
      </c>
      <c r="B19" s="15" t="e">
        <f>#REF!</f>
        <v>#REF!</v>
      </c>
      <c r="C19" s="15" t="e">
        <f>#REF!</f>
        <v>#REF!</v>
      </c>
      <c r="D19" s="15" t="e">
        <f>#REF!</f>
        <v>#REF!</v>
      </c>
      <c r="E19" s="15" t="e">
        <f>#REF!</f>
        <v>#REF!</v>
      </c>
      <c r="F19" s="16" t="e">
        <f>#REF!</f>
        <v>#REF!</v>
      </c>
      <c r="G19" s="16" t="e">
        <f>#REF!</f>
        <v>#REF!</v>
      </c>
      <c r="H19" s="17" t="e">
        <f>#REF!</f>
        <v>#REF!</v>
      </c>
      <c r="I19" s="17" t="e">
        <f>#REF!</f>
        <v>#REF!</v>
      </c>
      <c r="J19" s="18" t="e">
        <f>#REF!</f>
        <v>#REF!</v>
      </c>
    </row>
    <row r="20" spans="1:10">
      <c r="A20" s="15" t="e">
        <f>#REF!</f>
        <v>#REF!</v>
      </c>
      <c r="B20" s="15" t="e">
        <f>#REF!</f>
        <v>#REF!</v>
      </c>
      <c r="C20" s="15" t="e">
        <f>#REF!</f>
        <v>#REF!</v>
      </c>
      <c r="D20" s="15" t="e">
        <f>#REF!</f>
        <v>#REF!</v>
      </c>
      <c r="E20" s="15" t="e">
        <f>#REF!</f>
        <v>#REF!</v>
      </c>
      <c r="F20" s="16" t="e">
        <f>#REF!</f>
        <v>#REF!</v>
      </c>
      <c r="G20" s="16" t="e">
        <f>#REF!</f>
        <v>#REF!</v>
      </c>
      <c r="H20" s="17" t="e">
        <f>#REF!</f>
        <v>#REF!</v>
      </c>
      <c r="I20" s="17" t="e">
        <f>#REF!</f>
        <v>#REF!</v>
      </c>
      <c r="J20" s="18" t="e">
        <f>#REF!</f>
        <v>#REF!</v>
      </c>
    </row>
    <row r="21" spans="1:10">
      <c r="E21" s="11" t="s">
        <v>10</v>
      </c>
      <c r="F21" s="20" t="e">
        <f>SUM(F18:F20)</f>
        <v>#REF!</v>
      </c>
      <c r="G21" s="20" t="e">
        <f>SUM(G18:G20)</f>
        <v>#REF!</v>
      </c>
      <c r="H21" s="20" t="e">
        <f>SUM(H18:H20)</f>
        <v>#REF!</v>
      </c>
      <c r="I21" s="20" t="e">
        <f>SUM(I18:I20)</f>
        <v>#REF!</v>
      </c>
      <c r="J21" s="21" t="e">
        <f>SUM(J18:J20)</f>
        <v>#REF!</v>
      </c>
    </row>
    <row r="22" spans="1:10">
      <c r="J22" s="19"/>
    </row>
    <row r="23" spans="1:10">
      <c r="J23" s="19"/>
    </row>
    <row r="24" spans="1:10">
      <c r="A24" s="15" t="e">
        <f>#REF!</f>
        <v>#REF!</v>
      </c>
      <c r="B24" s="15" t="e">
        <f>#REF!</f>
        <v>#REF!</v>
      </c>
      <c r="C24" s="15" t="e">
        <f>#REF!</f>
        <v>#REF!</v>
      </c>
      <c r="D24" s="15" t="e">
        <f>#REF!</f>
        <v>#REF!</v>
      </c>
      <c r="E24" s="15" t="e">
        <f>#REF!</f>
        <v>#REF!</v>
      </c>
      <c r="F24" s="16" t="e">
        <f>#REF!</f>
        <v>#REF!</v>
      </c>
      <c r="G24" s="16" t="e">
        <f>#REF!</f>
        <v>#REF!</v>
      </c>
      <c r="H24" s="17" t="e">
        <f>#REF!</f>
        <v>#REF!</v>
      </c>
      <c r="I24" s="17" t="e">
        <f>#REF!</f>
        <v>#REF!</v>
      </c>
      <c r="J24" s="18" t="e">
        <f>#REF!</f>
        <v>#REF!</v>
      </c>
    </row>
    <row r="25" spans="1:10">
      <c r="A25" s="15" t="e">
        <f>#REF!</f>
        <v>#REF!</v>
      </c>
      <c r="B25" s="15" t="e">
        <f>#REF!</f>
        <v>#REF!</v>
      </c>
      <c r="C25" s="15" t="e">
        <f>#REF!</f>
        <v>#REF!</v>
      </c>
      <c r="D25" s="15" t="e">
        <f>#REF!</f>
        <v>#REF!</v>
      </c>
      <c r="E25" s="15" t="e">
        <f>#REF!</f>
        <v>#REF!</v>
      </c>
      <c r="F25" s="16" t="e">
        <f>#REF!</f>
        <v>#REF!</v>
      </c>
      <c r="G25" s="16" t="e">
        <f>#REF!</f>
        <v>#REF!</v>
      </c>
      <c r="H25" s="17" t="e">
        <f>#REF!</f>
        <v>#REF!</v>
      </c>
      <c r="I25" s="17" t="e">
        <f>#REF!</f>
        <v>#REF!</v>
      </c>
      <c r="J25" s="18" t="e">
        <f>#REF!</f>
        <v>#REF!</v>
      </c>
    </row>
    <row r="26" spans="1:10">
      <c r="E26" s="11" t="s">
        <v>10</v>
      </c>
      <c r="F26" s="22" t="e">
        <f>SUM(F24:F25)</f>
        <v>#REF!</v>
      </c>
      <c r="G26" s="22" t="e">
        <f>SUM(G24:G25)</f>
        <v>#REF!</v>
      </c>
      <c r="H26" s="22" t="e">
        <f>SUM(H24:H25)</f>
        <v>#REF!</v>
      </c>
      <c r="I26" s="22" t="e">
        <f>SUM(I24:I25)</f>
        <v>#REF!</v>
      </c>
      <c r="J26" s="21" t="e">
        <f>SUM(J24:J25)</f>
        <v>#REF!</v>
      </c>
    </row>
    <row r="27" spans="1:10">
      <c r="J27" s="19"/>
    </row>
    <row r="28" spans="1:10">
      <c r="J28" s="19"/>
    </row>
    <row r="29" spans="1:10">
      <c r="A29" s="15" t="e">
        <f>#REF!</f>
        <v>#REF!</v>
      </c>
      <c r="B29" s="15" t="e">
        <f>#REF!</f>
        <v>#REF!</v>
      </c>
      <c r="C29" s="15" t="e">
        <f>#REF!</f>
        <v>#REF!</v>
      </c>
      <c r="D29" s="15" t="e">
        <f>#REF!</f>
        <v>#REF!</v>
      </c>
      <c r="E29" s="15" t="e">
        <f>#REF!</f>
        <v>#REF!</v>
      </c>
      <c r="F29" s="16" t="e">
        <f>#REF!</f>
        <v>#REF!</v>
      </c>
      <c r="G29" s="16" t="e">
        <f>#REF!</f>
        <v>#REF!</v>
      </c>
      <c r="H29" s="17" t="e">
        <f>#REF!</f>
        <v>#REF!</v>
      </c>
      <c r="I29" s="17" t="e">
        <f>#REF!</f>
        <v>#REF!</v>
      </c>
      <c r="J29" s="18" t="e">
        <f>#REF!</f>
        <v>#REF!</v>
      </c>
    </row>
    <row r="30" spans="1:10">
      <c r="A30" s="15" t="e">
        <f>#REF!</f>
        <v>#REF!</v>
      </c>
      <c r="B30" s="15" t="e">
        <f>#REF!</f>
        <v>#REF!</v>
      </c>
      <c r="C30" s="15" t="e">
        <f>#REF!</f>
        <v>#REF!</v>
      </c>
      <c r="D30" s="15" t="e">
        <f>#REF!</f>
        <v>#REF!</v>
      </c>
      <c r="E30" s="15" t="e">
        <f>#REF!</f>
        <v>#REF!</v>
      </c>
      <c r="F30" s="16" t="e">
        <f>#REF!</f>
        <v>#REF!</v>
      </c>
      <c r="G30" s="16" t="e">
        <f>#REF!</f>
        <v>#REF!</v>
      </c>
      <c r="H30" s="17" t="e">
        <f>#REF!</f>
        <v>#REF!</v>
      </c>
      <c r="I30" s="17" t="e">
        <f>#REF!</f>
        <v>#REF!</v>
      </c>
      <c r="J30" s="18" t="e">
        <f>#REF!</f>
        <v>#REF!</v>
      </c>
    </row>
    <row r="31" spans="1:10">
      <c r="A31" s="15" t="e">
        <f>#REF!</f>
        <v>#REF!</v>
      </c>
      <c r="B31" s="15" t="e">
        <f>#REF!</f>
        <v>#REF!</v>
      </c>
      <c r="C31" s="15" t="e">
        <f>#REF!</f>
        <v>#REF!</v>
      </c>
      <c r="D31" s="15" t="e">
        <f>#REF!</f>
        <v>#REF!</v>
      </c>
      <c r="E31" s="15" t="e">
        <f>#REF!</f>
        <v>#REF!</v>
      </c>
      <c r="F31" s="16" t="e">
        <f>#REF!</f>
        <v>#REF!</v>
      </c>
      <c r="G31" s="16" t="e">
        <f>#REF!</f>
        <v>#REF!</v>
      </c>
      <c r="H31" s="17" t="e">
        <f>#REF!</f>
        <v>#REF!</v>
      </c>
      <c r="I31" s="17" t="e">
        <f>#REF!</f>
        <v>#REF!</v>
      </c>
      <c r="J31" s="18" t="e">
        <f>#REF!</f>
        <v>#REF!</v>
      </c>
    </row>
    <row r="32" spans="1:10">
      <c r="A32" s="15" t="e">
        <f>#REF!</f>
        <v>#REF!</v>
      </c>
      <c r="B32" s="15" t="e">
        <f>#REF!</f>
        <v>#REF!</v>
      </c>
      <c r="C32" s="15" t="e">
        <f>#REF!</f>
        <v>#REF!</v>
      </c>
      <c r="D32" s="15" t="e">
        <f>#REF!</f>
        <v>#REF!</v>
      </c>
      <c r="E32" s="15" t="e">
        <f>#REF!</f>
        <v>#REF!</v>
      </c>
      <c r="F32" s="16" t="e">
        <f>#REF!</f>
        <v>#REF!</v>
      </c>
      <c r="G32" s="16" t="e">
        <f>#REF!</f>
        <v>#REF!</v>
      </c>
      <c r="H32" s="17" t="e">
        <f>#REF!</f>
        <v>#REF!</v>
      </c>
      <c r="I32" s="17" t="e">
        <f>#REF!</f>
        <v>#REF!</v>
      </c>
      <c r="J32" s="18" t="e">
        <f>#REF!</f>
        <v>#REF!</v>
      </c>
    </row>
    <row r="33" spans="1:10">
      <c r="A33" s="15" t="e">
        <f>#REF!</f>
        <v>#REF!</v>
      </c>
      <c r="B33" s="15" t="e">
        <f>#REF!</f>
        <v>#REF!</v>
      </c>
      <c r="C33" s="15" t="e">
        <f>#REF!</f>
        <v>#REF!</v>
      </c>
      <c r="D33" s="15" t="e">
        <f>#REF!</f>
        <v>#REF!</v>
      </c>
      <c r="E33" s="15" t="e">
        <f>#REF!</f>
        <v>#REF!</v>
      </c>
      <c r="F33" s="16" t="e">
        <f>#REF!</f>
        <v>#REF!</v>
      </c>
      <c r="G33" s="16" t="e">
        <f>#REF!</f>
        <v>#REF!</v>
      </c>
      <c r="H33" s="17" t="e">
        <f>#REF!</f>
        <v>#REF!</v>
      </c>
      <c r="I33" s="17" t="e">
        <f>#REF!</f>
        <v>#REF!</v>
      </c>
      <c r="J33" s="18" t="e">
        <f>#REF!</f>
        <v>#REF!</v>
      </c>
    </row>
    <row r="34" spans="1:10">
      <c r="A34" s="15" t="e">
        <f>#REF!</f>
        <v>#REF!</v>
      </c>
      <c r="B34" s="15" t="e">
        <f>#REF!</f>
        <v>#REF!</v>
      </c>
      <c r="C34" s="15" t="e">
        <f>#REF!</f>
        <v>#REF!</v>
      </c>
      <c r="D34" s="15" t="e">
        <f>#REF!</f>
        <v>#REF!</v>
      </c>
      <c r="E34" s="15" t="e">
        <f>#REF!</f>
        <v>#REF!</v>
      </c>
      <c r="F34" s="16" t="e">
        <f>#REF!</f>
        <v>#REF!</v>
      </c>
      <c r="G34" s="16" t="e">
        <f>#REF!</f>
        <v>#REF!</v>
      </c>
      <c r="H34" s="16"/>
      <c r="I34" s="17"/>
      <c r="J34" s="18" t="e">
        <f>#REF!</f>
        <v>#REF!</v>
      </c>
    </row>
    <row r="35" spans="1:10">
      <c r="A35" s="15" t="e">
        <f>#REF!</f>
        <v>#REF!</v>
      </c>
      <c r="B35" s="15" t="e">
        <f>#REF!</f>
        <v>#REF!</v>
      </c>
      <c r="C35" s="15" t="e">
        <f>#REF!</f>
        <v>#REF!</v>
      </c>
      <c r="D35" s="15" t="e">
        <f>#REF!</f>
        <v>#REF!</v>
      </c>
      <c r="E35" s="15" t="e">
        <f>#REF!</f>
        <v>#REF!</v>
      </c>
      <c r="F35" s="16" t="e">
        <f>#REF!</f>
        <v>#REF!</v>
      </c>
      <c r="G35" s="16" t="e">
        <f>#REF!</f>
        <v>#REF!</v>
      </c>
      <c r="H35" s="16"/>
      <c r="I35" s="17"/>
      <c r="J35" s="18" t="e">
        <f>#REF!</f>
        <v>#REF!</v>
      </c>
    </row>
    <row r="36" spans="1:10">
      <c r="A36" s="15" t="e">
        <f>#REF!</f>
        <v>#REF!</v>
      </c>
      <c r="B36" s="15" t="e">
        <f>#REF!</f>
        <v>#REF!</v>
      </c>
      <c r="C36" s="15" t="e">
        <f>#REF!</f>
        <v>#REF!</v>
      </c>
      <c r="D36" s="15" t="e">
        <f>#REF!</f>
        <v>#REF!</v>
      </c>
      <c r="E36" s="15" t="e">
        <f>#REF!</f>
        <v>#REF!</v>
      </c>
      <c r="F36" s="16" t="e">
        <f>#REF!</f>
        <v>#REF!</v>
      </c>
      <c r="G36" s="16" t="e">
        <f>#REF!</f>
        <v>#REF!</v>
      </c>
      <c r="H36" s="16"/>
      <c r="I36" s="17"/>
      <c r="J36" s="18" t="e">
        <f>#REF!</f>
        <v>#REF!</v>
      </c>
    </row>
    <row r="37" spans="1:10">
      <c r="A37" s="15" t="e">
        <f>#REF!</f>
        <v>#REF!</v>
      </c>
      <c r="B37" s="15" t="e">
        <f>#REF!</f>
        <v>#REF!</v>
      </c>
      <c r="C37" s="15" t="e">
        <f>#REF!</f>
        <v>#REF!</v>
      </c>
      <c r="D37" s="15" t="e">
        <f>#REF!</f>
        <v>#REF!</v>
      </c>
      <c r="E37" s="15" t="e">
        <f>#REF!</f>
        <v>#REF!</v>
      </c>
      <c r="F37" s="16" t="e">
        <f>#REF!</f>
        <v>#REF!</v>
      </c>
      <c r="G37" s="16" t="e">
        <f>#REF!</f>
        <v>#REF!</v>
      </c>
      <c r="H37" s="17" t="e">
        <f>#REF!</f>
        <v>#REF!</v>
      </c>
      <c r="I37" s="17" t="e">
        <f>#REF!</f>
        <v>#REF!</v>
      </c>
      <c r="J37" s="18" t="e">
        <f>#REF!</f>
        <v>#REF!</v>
      </c>
    </row>
    <row r="38" spans="1:10">
      <c r="A38" s="15" t="e">
        <f>#REF!</f>
        <v>#REF!</v>
      </c>
      <c r="B38" s="15" t="e">
        <f>#REF!</f>
        <v>#REF!</v>
      </c>
      <c r="C38" s="15" t="e">
        <f>#REF!</f>
        <v>#REF!</v>
      </c>
      <c r="D38" s="15" t="e">
        <f>#REF!</f>
        <v>#REF!</v>
      </c>
      <c r="E38" s="15" t="e">
        <f>#REF!</f>
        <v>#REF!</v>
      </c>
      <c r="F38" s="16" t="e">
        <f>#REF!</f>
        <v>#REF!</v>
      </c>
      <c r="G38" s="16" t="e">
        <f>#REF!</f>
        <v>#REF!</v>
      </c>
      <c r="H38" s="17" t="e">
        <f>#REF!</f>
        <v>#REF!</v>
      </c>
      <c r="I38" s="17" t="e">
        <f>#REF!</f>
        <v>#REF!</v>
      </c>
      <c r="J38" s="18" t="e">
        <f>#REF!</f>
        <v>#REF!</v>
      </c>
    </row>
    <row r="39" spans="1:10">
      <c r="A39" s="15" t="e">
        <f>#REF!</f>
        <v>#REF!</v>
      </c>
      <c r="B39" s="15" t="e">
        <f>#REF!</f>
        <v>#REF!</v>
      </c>
      <c r="C39" s="15" t="e">
        <f>#REF!</f>
        <v>#REF!</v>
      </c>
      <c r="D39" s="15" t="e">
        <f>#REF!</f>
        <v>#REF!</v>
      </c>
      <c r="E39" s="15" t="e">
        <f>#REF!</f>
        <v>#REF!</v>
      </c>
      <c r="F39" s="16" t="e">
        <f>#REF!</f>
        <v>#REF!</v>
      </c>
      <c r="G39" s="16" t="e">
        <f>#REF!</f>
        <v>#REF!</v>
      </c>
      <c r="H39" s="16"/>
      <c r="I39" s="17"/>
      <c r="J39" s="18" t="e">
        <f>#REF!</f>
        <v>#REF!</v>
      </c>
    </row>
    <row r="40" spans="1:10">
      <c r="A40" s="15" t="e">
        <f>#REF!</f>
        <v>#REF!</v>
      </c>
      <c r="B40" s="15" t="e">
        <f>#REF!</f>
        <v>#REF!</v>
      </c>
      <c r="C40" s="15" t="e">
        <f>#REF!</f>
        <v>#REF!</v>
      </c>
      <c r="D40" s="15" t="e">
        <f>#REF!</f>
        <v>#REF!</v>
      </c>
      <c r="E40" s="15" t="e">
        <f>#REF!</f>
        <v>#REF!</v>
      </c>
      <c r="F40" s="16" t="e">
        <f>#REF!</f>
        <v>#REF!</v>
      </c>
      <c r="G40" s="16" t="e">
        <f>#REF!</f>
        <v>#REF!</v>
      </c>
      <c r="H40" s="17" t="e">
        <f>#REF!</f>
        <v>#REF!</v>
      </c>
      <c r="I40" s="17" t="e">
        <f>#REF!</f>
        <v>#REF!</v>
      </c>
      <c r="J40" s="18" t="e">
        <f>#REF!</f>
        <v>#REF!</v>
      </c>
    </row>
    <row r="41" spans="1:10">
      <c r="E41" s="11" t="s">
        <v>10</v>
      </c>
      <c r="F41" s="22" t="e">
        <f>SUM(F29:F40)</f>
        <v>#REF!</v>
      </c>
      <c r="G41" s="22" t="e">
        <f>SUM(G29:G40)</f>
        <v>#REF!</v>
      </c>
      <c r="H41" s="22" t="e">
        <f>SUM(H29:H40)</f>
        <v>#REF!</v>
      </c>
      <c r="I41" s="22" t="e">
        <f>SUM(I29:I40)</f>
        <v>#REF!</v>
      </c>
      <c r="J41" s="21" t="e">
        <f>SUM(J29:J40)</f>
        <v>#REF!</v>
      </c>
    </row>
    <row r="42" spans="1:10">
      <c r="J42" s="19"/>
    </row>
    <row r="43" spans="1:10">
      <c r="J43" s="19"/>
    </row>
    <row r="44" spans="1:10">
      <c r="A44" s="15" t="e">
        <f>#REF!</f>
        <v>#REF!</v>
      </c>
      <c r="B44" s="15" t="e">
        <f>#REF!</f>
        <v>#REF!</v>
      </c>
      <c r="C44" s="15" t="e">
        <f>#REF!</f>
        <v>#REF!</v>
      </c>
      <c r="D44" s="15" t="e">
        <f>#REF!</f>
        <v>#REF!</v>
      </c>
      <c r="E44" s="15" t="e">
        <f>#REF!</f>
        <v>#REF!</v>
      </c>
      <c r="F44" s="16" t="e">
        <f>#REF!</f>
        <v>#REF!</v>
      </c>
      <c r="G44" s="16" t="e">
        <f>#REF!</f>
        <v>#REF!</v>
      </c>
      <c r="H44" s="17" t="e">
        <f>#REF!</f>
        <v>#REF!</v>
      </c>
      <c r="I44" s="17" t="e">
        <f>#REF!</f>
        <v>#REF!</v>
      </c>
      <c r="J44" s="18" t="e">
        <f>#REF!</f>
        <v>#REF!</v>
      </c>
    </row>
    <row r="45" spans="1:10">
      <c r="A45" s="15" t="e">
        <f>#REF!</f>
        <v>#REF!</v>
      </c>
      <c r="B45" s="15" t="e">
        <f>#REF!</f>
        <v>#REF!</v>
      </c>
      <c r="C45" s="15" t="e">
        <f>#REF!</f>
        <v>#REF!</v>
      </c>
      <c r="D45" s="15" t="e">
        <f>#REF!</f>
        <v>#REF!</v>
      </c>
      <c r="E45" s="15" t="e">
        <f>#REF!</f>
        <v>#REF!</v>
      </c>
      <c r="F45" s="16" t="e">
        <f>#REF!</f>
        <v>#REF!</v>
      </c>
      <c r="G45" s="16" t="e">
        <f>#REF!</f>
        <v>#REF!</v>
      </c>
      <c r="H45" s="17" t="e">
        <f>#REF!</f>
        <v>#REF!</v>
      </c>
      <c r="I45" s="17" t="e">
        <f>#REF!</f>
        <v>#REF!</v>
      </c>
      <c r="J45" s="18" t="e">
        <f>#REF!</f>
        <v>#REF!</v>
      </c>
    </row>
    <row r="46" spans="1:10">
      <c r="A46" s="15" t="e">
        <f>#REF!</f>
        <v>#REF!</v>
      </c>
      <c r="B46" s="15" t="e">
        <f>#REF!</f>
        <v>#REF!</v>
      </c>
      <c r="C46" s="15" t="e">
        <f>#REF!</f>
        <v>#REF!</v>
      </c>
      <c r="D46" s="15" t="e">
        <f>#REF!</f>
        <v>#REF!</v>
      </c>
      <c r="E46" s="15" t="e">
        <f>#REF!</f>
        <v>#REF!</v>
      </c>
      <c r="F46" s="16" t="e">
        <f>#REF!</f>
        <v>#REF!</v>
      </c>
      <c r="G46" s="16" t="e">
        <f>#REF!</f>
        <v>#REF!</v>
      </c>
      <c r="H46" s="17" t="e">
        <f>#REF!</f>
        <v>#REF!</v>
      </c>
      <c r="I46" s="17" t="e">
        <f>#REF!</f>
        <v>#REF!</v>
      </c>
      <c r="J46" s="18" t="e">
        <f>#REF!</f>
        <v>#REF!</v>
      </c>
    </row>
    <row r="47" spans="1:10">
      <c r="A47" s="15" t="e">
        <f>#REF!</f>
        <v>#REF!</v>
      </c>
      <c r="B47" s="15" t="e">
        <f>#REF!</f>
        <v>#REF!</v>
      </c>
      <c r="C47" s="15" t="e">
        <f>#REF!</f>
        <v>#REF!</v>
      </c>
      <c r="D47" s="15" t="e">
        <f>#REF!</f>
        <v>#REF!</v>
      </c>
      <c r="E47" s="15" t="e">
        <f>#REF!</f>
        <v>#REF!</v>
      </c>
      <c r="F47" s="16" t="e">
        <f>#REF!</f>
        <v>#REF!</v>
      </c>
      <c r="G47" s="16" t="e">
        <f>#REF!</f>
        <v>#REF!</v>
      </c>
      <c r="H47" s="17" t="e">
        <f>#REF!</f>
        <v>#REF!</v>
      </c>
      <c r="I47" s="17" t="e">
        <f>#REF!</f>
        <v>#REF!</v>
      </c>
      <c r="J47" s="18" t="e">
        <f>#REF!</f>
        <v>#REF!</v>
      </c>
    </row>
    <row r="48" spans="1:10">
      <c r="A48" s="15" t="e">
        <f>#REF!</f>
        <v>#REF!</v>
      </c>
      <c r="B48" s="15" t="e">
        <f>#REF!</f>
        <v>#REF!</v>
      </c>
      <c r="C48" s="15" t="e">
        <f>#REF!</f>
        <v>#REF!</v>
      </c>
      <c r="D48" s="15" t="e">
        <f>#REF!</f>
        <v>#REF!</v>
      </c>
      <c r="E48" s="15" t="e">
        <f>#REF!</f>
        <v>#REF!</v>
      </c>
      <c r="F48" s="16" t="e">
        <f>#REF!</f>
        <v>#REF!</v>
      </c>
      <c r="G48" s="16" t="e">
        <f>#REF!</f>
        <v>#REF!</v>
      </c>
      <c r="H48" s="17" t="e">
        <f>#REF!</f>
        <v>#REF!</v>
      </c>
      <c r="I48" s="17" t="e">
        <f>#REF!</f>
        <v>#REF!</v>
      </c>
      <c r="J48" s="18" t="e">
        <f>#REF!</f>
        <v>#REF!</v>
      </c>
    </row>
    <row r="49" spans="1:10">
      <c r="E49" s="11" t="s">
        <v>10</v>
      </c>
      <c r="F49" s="22" t="e">
        <f>SUM(F44:F48)</f>
        <v>#REF!</v>
      </c>
      <c r="G49" s="22" t="e">
        <f>SUM(G44:G48)</f>
        <v>#REF!</v>
      </c>
      <c r="H49" s="22" t="e">
        <f>SUM(H44:H48)</f>
        <v>#REF!</v>
      </c>
      <c r="I49" s="22" t="e">
        <f>SUM(I44:I48)</f>
        <v>#REF!</v>
      </c>
      <c r="J49" s="21" t="e">
        <f>SUM(J44:J48)</f>
        <v>#REF!</v>
      </c>
    </row>
    <row r="50" spans="1:10">
      <c r="J50" s="19"/>
    </row>
    <row r="51" spans="1:10">
      <c r="J51" s="19"/>
    </row>
    <row r="52" spans="1:10">
      <c r="A52" s="15" t="e">
        <f>#REF!</f>
        <v>#REF!</v>
      </c>
      <c r="B52" s="15" t="e">
        <f>#REF!</f>
        <v>#REF!</v>
      </c>
      <c r="C52" s="15" t="e">
        <f>#REF!</f>
        <v>#REF!</v>
      </c>
      <c r="D52" s="15" t="e">
        <f>#REF!</f>
        <v>#REF!</v>
      </c>
      <c r="E52" s="15" t="e">
        <f>#REF!</f>
        <v>#REF!</v>
      </c>
      <c r="F52" s="16" t="e">
        <f>#REF!</f>
        <v>#REF!</v>
      </c>
      <c r="G52" s="16" t="e">
        <f>#REF!</f>
        <v>#REF!</v>
      </c>
      <c r="H52" s="17" t="e">
        <f>#REF!</f>
        <v>#REF!</v>
      </c>
      <c r="I52" s="17" t="e">
        <f>#REF!</f>
        <v>#REF!</v>
      </c>
      <c r="J52" s="18" t="e">
        <f>#REF!</f>
        <v>#REF!</v>
      </c>
    </row>
    <row r="53" spans="1:10">
      <c r="A53" s="15" t="e">
        <f>#REF!</f>
        <v>#REF!</v>
      </c>
      <c r="B53" s="15" t="e">
        <f>#REF!</f>
        <v>#REF!</v>
      </c>
      <c r="C53" s="15" t="e">
        <f>#REF!</f>
        <v>#REF!</v>
      </c>
      <c r="D53" s="15" t="e">
        <f>#REF!</f>
        <v>#REF!</v>
      </c>
      <c r="E53" s="15" t="e">
        <f>#REF!</f>
        <v>#REF!</v>
      </c>
      <c r="F53" s="16" t="e">
        <f>#REF!</f>
        <v>#REF!</v>
      </c>
      <c r="G53" s="16" t="e">
        <f>#REF!</f>
        <v>#REF!</v>
      </c>
      <c r="H53" s="17" t="e">
        <f>#REF!</f>
        <v>#REF!</v>
      </c>
      <c r="I53" s="17" t="e">
        <f>#REF!</f>
        <v>#REF!</v>
      </c>
      <c r="J53" s="18" t="e">
        <f>#REF!</f>
        <v>#REF!</v>
      </c>
    </row>
    <row r="54" spans="1:10">
      <c r="E54" s="11" t="s">
        <v>10</v>
      </c>
      <c r="F54" s="22" t="e">
        <f>SUM(F52:F53)</f>
        <v>#REF!</v>
      </c>
      <c r="G54" s="22" t="e">
        <f>SUM(G52:G53)</f>
        <v>#REF!</v>
      </c>
      <c r="H54" s="22" t="e">
        <f>SUM(H52:H53)</f>
        <v>#REF!</v>
      </c>
      <c r="I54" s="22" t="e">
        <f>SUM(I52:I53)</f>
        <v>#REF!</v>
      </c>
      <c r="J54" s="21" t="e">
        <f>SUM(J52:J53)</f>
        <v>#REF!</v>
      </c>
    </row>
    <row r="55" spans="1:10">
      <c r="J55" s="19"/>
    </row>
    <row r="56" spans="1:10">
      <c r="J56" s="19"/>
    </row>
    <row r="57" spans="1:10">
      <c r="A57" s="15" t="e">
        <f>#REF!</f>
        <v>#REF!</v>
      </c>
      <c r="B57" s="15" t="e">
        <f>#REF!</f>
        <v>#REF!</v>
      </c>
      <c r="C57" s="15" t="e">
        <f>#REF!</f>
        <v>#REF!</v>
      </c>
      <c r="D57" s="15" t="e">
        <f>#REF!</f>
        <v>#REF!</v>
      </c>
      <c r="E57" s="15" t="e">
        <f>#REF!</f>
        <v>#REF!</v>
      </c>
      <c r="F57" s="16" t="e">
        <f>#REF!</f>
        <v>#REF!</v>
      </c>
      <c r="G57" s="16" t="e">
        <f>#REF!</f>
        <v>#REF!</v>
      </c>
      <c r="H57" s="16"/>
      <c r="J57" s="18" t="e">
        <f>#REF!</f>
        <v>#REF!</v>
      </c>
    </row>
    <row r="58" spans="1:10">
      <c r="E58" s="11" t="s">
        <v>10</v>
      </c>
      <c r="F58" s="22" t="e">
        <f>F57</f>
        <v>#REF!</v>
      </c>
      <c r="G58" s="22" t="e">
        <f>G57</f>
        <v>#REF!</v>
      </c>
      <c r="H58" s="22"/>
      <c r="I58" s="2"/>
      <c r="J58" s="21" t="e">
        <f>J57</f>
        <v>#REF!</v>
      </c>
    </row>
    <row r="59" spans="1:10">
      <c r="J59" s="19"/>
    </row>
    <row r="60" spans="1:10">
      <c r="J60" s="19"/>
    </row>
    <row r="61" spans="1:10">
      <c r="J61" s="19"/>
    </row>
    <row r="62" spans="1:10">
      <c r="J62" s="19"/>
    </row>
    <row r="63" spans="1:10">
      <c r="E63" s="11" t="s">
        <v>28</v>
      </c>
      <c r="F63" s="22" t="e">
        <f>F15+F21+F26+F41+F49+F54+F58</f>
        <v>#REF!</v>
      </c>
      <c r="G63" s="22" t="e">
        <f>G15+G21+G26+G41+G49+G54+G58</f>
        <v>#REF!</v>
      </c>
      <c r="H63" s="22" t="e">
        <f>H15+H21+H26+H41+H49+H54+H58</f>
        <v>#REF!</v>
      </c>
      <c r="I63" s="22" t="e">
        <f>I15+I21+I26+I41+I49+I54+I58</f>
        <v>#REF!</v>
      </c>
      <c r="J63" s="21" t="e">
        <f>J15+J21+J26+J41+J49+J54+J58</f>
        <v>#REF!</v>
      </c>
    </row>
    <row r="64" spans="1: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sheetData>
  <phoneticPr fontId="0" type="noConversion"/>
  <printOptions gridLines="1"/>
  <pageMargins left="0.25" right="0.25" top="1" bottom="1" header="0.5" footer="0.5"/>
  <pageSetup scale="8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4"/>
  <sheetViews>
    <sheetView topLeftCell="C1" zoomScale="85" zoomScaleNormal="85" workbookViewId="0">
      <selection activeCell="C10" sqref="C10"/>
    </sheetView>
  </sheetViews>
  <sheetFormatPr defaultColWidth="9.109375" defaultRowHeight="13.2"/>
  <cols>
    <col min="1" max="1" width="31.44140625" style="159" customWidth="1"/>
    <col min="2" max="2" width="28.6640625" style="159" customWidth="1"/>
    <col min="3" max="4" width="7.5546875" style="159" bestFit="1" customWidth="1"/>
    <col min="5" max="5" width="10" style="159" bestFit="1" customWidth="1"/>
    <col min="6" max="6" width="7.5546875" style="159" bestFit="1" customWidth="1"/>
    <col min="7" max="7" width="9.33203125" style="159" bestFit="1" customWidth="1"/>
    <col min="8" max="8" width="9.44140625" style="159" bestFit="1" customWidth="1"/>
    <col min="9" max="9" width="7.5546875" style="159" bestFit="1" customWidth="1"/>
    <col min="10" max="10" width="8.109375" style="159" bestFit="1" customWidth="1"/>
    <col min="11" max="13" width="7.5546875" style="159" bestFit="1" customWidth="1"/>
    <col min="14" max="14" width="6.5546875" style="159" bestFit="1" customWidth="1"/>
    <col min="15" max="18" width="8.6640625" style="159" bestFit="1" customWidth="1"/>
    <col min="19" max="19" width="9.5546875" style="159" bestFit="1" customWidth="1"/>
    <col min="20" max="20" width="8.44140625" style="159" bestFit="1" customWidth="1"/>
    <col min="21" max="21" width="3.44140625" style="159" customWidth="1"/>
    <col min="22" max="22" width="31.44140625" style="159" customWidth="1"/>
    <col min="23" max="23" width="28.6640625" style="159" customWidth="1"/>
    <col min="24" max="24" width="10.5546875" style="159" customWidth="1"/>
    <col min="25" max="25" width="9.5546875" style="159" customWidth="1"/>
    <col min="26" max="26" width="12" style="159" customWidth="1"/>
    <col min="27" max="27" width="9.109375" style="159" customWidth="1"/>
    <col min="28" max="28" width="11.5546875" style="159" customWidth="1"/>
    <col min="29" max="29" width="11.44140625" style="159" customWidth="1"/>
    <col min="30" max="30" width="9.109375" style="159" customWidth="1"/>
    <col min="31" max="31" width="10" style="159" customWidth="1"/>
    <col min="32" max="35" width="9.109375" style="159" customWidth="1"/>
    <col min="36" max="38" width="8.88671875" style="159" customWidth="1"/>
    <col min="39" max="39" width="10.88671875" style="159" customWidth="1"/>
    <col min="40" max="40" width="12.44140625" style="159" bestFit="1" customWidth="1"/>
    <col min="41" max="41" width="8.88671875" style="159" customWidth="1"/>
    <col min="42" max="16384" width="9.109375" style="82"/>
  </cols>
  <sheetData>
    <row r="1" spans="1:21" ht="21">
      <c r="A1" s="725" t="s">
        <v>86</v>
      </c>
      <c r="B1" s="725" t="s">
        <v>388</v>
      </c>
      <c r="T1" s="743" t="s">
        <v>252</v>
      </c>
    </row>
    <row r="2" spans="1:21" s="174" customFormat="1" ht="21.6" thickBot="1">
      <c r="A2" s="742" t="s">
        <v>19</v>
      </c>
      <c r="B2" s="742" t="s">
        <v>487</v>
      </c>
      <c r="C2" s="893" t="s">
        <v>8</v>
      </c>
      <c r="D2" s="893" t="s">
        <v>78</v>
      </c>
      <c r="E2" s="893" t="s">
        <v>79</v>
      </c>
      <c r="F2" s="893" t="s">
        <v>80</v>
      </c>
      <c r="G2" s="893" t="s">
        <v>81</v>
      </c>
      <c r="H2" s="893" t="s">
        <v>82</v>
      </c>
      <c r="I2" s="893" t="s">
        <v>83</v>
      </c>
      <c r="J2" s="893" t="s">
        <v>84</v>
      </c>
      <c r="K2" s="893" t="s">
        <v>85</v>
      </c>
      <c r="L2" s="893" t="s">
        <v>4</v>
      </c>
      <c r="M2" s="893" t="s">
        <v>5</v>
      </c>
      <c r="N2" s="893" t="s">
        <v>6</v>
      </c>
      <c r="O2" s="894" t="s">
        <v>110</v>
      </c>
      <c r="P2" s="894" t="s">
        <v>111</v>
      </c>
      <c r="Q2" s="894" t="s">
        <v>112</v>
      </c>
      <c r="R2" s="894" t="s">
        <v>113</v>
      </c>
      <c r="S2" s="894" t="s">
        <v>114</v>
      </c>
      <c r="T2" s="894" t="s">
        <v>243</v>
      </c>
      <c r="U2" s="139"/>
    </row>
    <row r="3" spans="1:21" s="190" customFormat="1" ht="16.5" customHeight="1">
      <c r="A3" s="1107" t="s">
        <v>272</v>
      </c>
      <c r="B3" s="286" t="s">
        <v>187</v>
      </c>
      <c r="C3" s="284">
        <f>'OpStatTotals(AllServices)'!C21</f>
        <v>23</v>
      </c>
      <c r="D3" s="284">
        <f>'OpStatTotals(AllServices)'!D21</f>
        <v>22</v>
      </c>
      <c r="E3" s="284">
        <f>'OpStatTotals(AllServices)'!E21</f>
        <v>21</v>
      </c>
      <c r="F3" s="284">
        <f>'OpStatTotals(AllServices)'!F21</f>
        <v>23</v>
      </c>
      <c r="G3" s="284">
        <f>'OpStatTotals(AllServices)'!G21</f>
        <v>20</v>
      </c>
      <c r="H3" s="284">
        <f>'OpStatTotals(AllServices)'!H21</f>
        <v>21</v>
      </c>
      <c r="I3" s="284">
        <f>'OpStatTotals(AllServices)'!I21</f>
        <v>0</v>
      </c>
      <c r="J3" s="284">
        <f>'OpStatTotals(AllServices)'!J21</f>
        <v>0</v>
      </c>
      <c r="K3" s="284">
        <f>'OpStatTotals(AllServices)'!K21</f>
        <v>0</v>
      </c>
      <c r="L3" s="284">
        <f>'OpStatTotals(AllServices)'!L21</f>
        <v>0</v>
      </c>
      <c r="M3" s="284">
        <f>'OpStatTotals(AllServices)'!M21</f>
        <v>0</v>
      </c>
      <c r="N3" s="284">
        <f>'OpStatTotals(AllServices)'!N21</f>
        <v>0</v>
      </c>
      <c r="O3" s="317">
        <f t="shared" ref="O3:O6" si="0">C3+D3+E3</f>
        <v>66</v>
      </c>
      <c r="P3" s="317">
        <f t="shared" ref="P3:P6" si="1">F3+G3+H3</f>
        <v>64</v>
      </c>
      <c r="Q3" s="317">
        <f t="shared" ref="Q3:Q6" si="2">I3+J3+K3</f>
        <v>0</v>
      </c>
      <c r="R3" s="317">
        <f t="shared" ref="R3:R6" si="3">L3+M3+N3</f>
        <v>0</v>
      </c>
      <c r="S3" s="321">
        <f>SUM(C3:N3)</f>
        <v>130</v>
      </c>
      <c r="T3" s="145"/>
      <c r="U3" s="162"/>
    </row>
    <row r="4" spans="1:21" s="849" customFormat="1" ht="16.5" customHeight="1" thickBot="1">
      <c r="A4" s="1108"/>
      <c r="B4" s="229" t="s">
        <v>244</v>
      </c>
      <c r="C4" s="331">
        <f>'3b-RM Report Data'!J104-'3b-RM Report Data'!J109</f>
        <v>31</v>
      </c>
      <c r="D4" s="331">
        <f>'3b-RM Report Data'!Q104-'3b-RM Report Data'!Q109</f>
        <v>31</v>
      </c>
      <c r="E4" s="331">
        <f>'3b-RM Report Data'!X104-'3b-RM Report Data'!X109</f>
        <v>31</v>
      </c>
      <c r="F4" s="331">
        <f>'3b-RM Report Data'!AE104-'3b-RM Report Data'!AE109</f>
        <v>31</v>
      </c>
      <c r="G4" s="331">
        <f>'3b-RM Report Data'!AL104-'3b-RM Report Data'!AL109</f>
        <v>31</v>
      </c>
      <c r="H4" s="331">
        <f>'3b-RM Report Data'!AS104-'3b-RM Report Data'!AS109</f>
        <v>31</v>
      </c>
      <c r="I4" s="331">
        <f>'3b-RM Report Data'!AZ104-'3b-RM Report Data'!AZ109</f>
        <v>31</v>
      </c>
      <c r="J4" s="331">
        <f>'3b-RM Report Data'!BG104-'3b-RM Report Data'!BG109</f>
        <v>31</v>
      </c>
      <c r="K4" s="331">
        <f>'3b-RM Report Data'!BN104-'3b-RM Report Data'!BN109</f>
        <v>31</v>
      </c>
      <c r="L4" s="331">
        <f>'3b-RM Report Data'!BU104-'3b-RM Report Data'!BU109</f>
        <v>31</v>
      </c>
      <c r="M4" s="331">
        <f>'3b-RM Report Data'!CB104-'3b-RM Report Data'!CB109</f>
        <v>31</v>
      </c>
      <c r="N4" s="331">
        <f>'3b-RM Report Data'!CI104-'3b-RM Report Data'!CI109</f>
        <v>31</v>
      </c>
      <c r="O4" s="255">
        <f t="shared" ref="O4" si="4">MAX(C4,D4,E4)</f>
        <v>31</v>
      </c>
      <c r="P4" s="255">
        <f t="shared" ref="P4" si="5">MAX(F4,G4,H4)</f>
        <v>31</v>
      </c>
      <c r="Q4" s="255">
        <f t="shared" ref="Q4" si="6">MAX(I4,J4,K4)</f>
        <v>31</v>
      </c>
      <c r="R4" s="255">
        <f t="shared" ref="R4" si="7">MAX(L4,M4,N4)</f>
        <v>31</v>
      </c>
      <c r="S4" s="319">
        <f t="shared" ref="S4" si="8">MAX(C4:N4)</f>
        <v>31</v>
      </c>
      <c r="T4" s="173">
        <f>S4</f>
        <v>31</v>
      </c>
      <c r="U4" s="163"/>
    </row>
    <row r="5" spans="1:21" s="160" customFormat="1" ht="16.5" customHeight="1">
      <c r="A5" s="1105" t="s">
        <v>248</v>
      </c>
      <c r="B5" s="178" t="s">
        <v>190</v>
      </c>
      <c r="C5" s="180">
        <f>'OpStatTotals(AllServices)'!C23-'OpStatsTotals(MBTrailblazers)'!C37-'OpStatsTotals(DR)'!C6</f>
        <v>3828.5699999999997</v>
      </c>
      <c r="D5" s="180">
        <f>'OpStatTotals(AllServices)'!D23-'OpStatsTotals(MBTrailblazers)'!D37-'OpStatsTotals(DR)'!D6</f>
        <v>3951.92</v>
      </c>
      <c r="E5" s="180">
        <f>'OpStatTotals(AllServices)'!E23-'OpStatsTotals(MBTrailblazers)'!E37-'OpStatsTotals(DR)'!E6</f>
        <v>3486.66</v>
      </c>
      <c r="F5" s="180">
        <f>'OpStatTotals(AllServices)'!F23-'OpStatsTotals(MBTrailblazers)'!F37-'OpStatsTotals(DR)'!F6</f>
        <v>4088.9800000000005</v>
      </c>
      <c r="G5" s="180">
        <f>'OpStatTotals(AllServices)'!G23-'OpStatsTotals(MBTrailblazers)'!G37-'OpStatsTotals(DR)'!G6</f>
        <v>3323.3</v>
      </c>
      <c r="H5" s="180">
        <f>'OpStatTotals(AllServices)'!H23-'OpStatsTotals(MBTrailblazers)'!H37-'OpStatsTotals(DR)'!H6</f>
        <v>3366.4299999999994</v>
      </c>
      <c r="I5" s="180">
        <f>'OpStatTotals(AllServices)'!I23-'OpStatsTotals(MBTrailblazers)'!I37-'OpStatsTotals(DR)'!I6</f>
        <v>0</v>
      </c>
      <c r="J5" s="180">
        <f>'OpStatTotals(AllServices)'!J23-'OpStatsTotals(MBTrailblazers)'!J37-'OpStatsTotals(DR)'!J6</f>
        <v>0</v>
      </c>
      <c r="K5" s="180">
        <f>'OpStatTotals(AllServices)'!K23-'OpStatsTotals(MBTrailblazers)'!K37-'OpStatsTotals(DR)'!K6</f>
        <v>0</v>
      </c>
      <c r="L5" s="180">
        <f>'OpStatTotals(AllServices)'!L23-'OpStatsTotals(MBTrailblazers)'!L37-'OpStatsTotals(DR)'!L6</f>
        <v>0</v>
      </c>
      <c r="M5" s="180">
        <f>'OpStatTotals(AllServices)'!M23-'OpStatsTotals(MBTrailblazers)'!M37-'OpStatsTotals(DR)'!M6</f>
        <v>0</v>
      </c>
      <c r="N5" s="180">
        <f>'OpStatTotals(AllServices)'!N23-'OpStatsTotals(MBTrailblazers)'!N37-'OpStatsTotals(DR)'!N6</f>
        <v>0</v>
      </c>
      <c r="O5" s="266">
        <f t="shared" si="0"/>
        <v>11267.15</v>
      </c>
      <c r="P5" s="266">
        <f t="shared" si="1"/>
        <v>10778.71</v>
      </c>
      <c r="Q5" s="266">
        <f t="shared" si="2"/>
        <v>0</v>
      </c>
      <c r="R5" s="266">
        <f t="shared" si="3"/>
        <v>0</v>
      </c>
      <c r="S5" s="325">
        <f t="shared" ref="S5:S6" si="9">SUM(C5:N5)</f>
        <v>22045.86</v>
      </c>
      <c r="T5" s="182"/>
      <c r="U5" s="165"/>
    </row>
    <row r="6" spans="1:21" s="160" customFormat="1" ht="16.5" customHeight="1">
      <c r="A6" s="1105"/>
      <c r="B6" s="177" t="s">
        <v>148</v>
      </c>
      <c r="C6" s="322">
        <f>'OpStatTotals(AllServices)'!C14-'OpStatsTotals(DR)'!C33</f>
        <v>2235</v>
      </c>
      <c r="D6" s="322">
        <f>'OpStatTotals(AllServices)'!D14-'OpStatsTotals(DR)'!D33</f>
        <v>2097</v>
      </c>
      <c r="E6" s="322">
        <f>'OpStatTotals(AllServices)'!E14-'OpStatsTotals(DR)'!E33</f>
        <v>1962</v>
      </c>
      <c r="F6" s="322">
        <f>'OpStatTotals(AllServices)'!F14-'OpStatsTotals(DR)'!F33</f>
        <v>2128</v>
      </c>
      <c r="G6" s="322">
        <f>'OpStatTotals(AllServices)'!G14-'OpStatsTotals(DR)'!G33</f>
        <v>1806</v>
      </c>
      <c r="H6" s="322">
        <f>'OpStatTotals(AllServices)'!H14-'OpStatsTotals(DR)'!H33</f>
        <v>1809</v>
      </c>
      <c r="I6" s="322">
        <f>'OpStatTotals(AllServices)'!I14-'OpStatsTotals(DR)'!I33</f>
        <v>0</v>
      </c>
      <c r="J6" s="322">
        <f>'OpStatTotals(AllServices)'!J14-'OpStatsTotals(DR)'!J33</f>
        <v>0</v>
      </c>
      <c r="K6" s="322">
        <f>'OpStatTotals(AllServices)'!K14-'OpStatsTotals(DR)'!K33</f>
        <v>0</v>
      </c>
      <c r="L6" s="322">
        <f>'OpStatTotals(AllServices)'!L14-'OpStatsTotals(DR)'!L33</f>
        <v>0</v>
      </c>
      <c r="M6" s="322">
        <f>'OpStatTotals(AllServices)'!M14-'OpStatsTotals(DR)'!M33</f>
        <v>0</v>
      </c>
      <c r="N6" s="322">
        <f>'OpStatTotals(AllServices)'!N14-'OpStatsTotals(DR)'!N33</f>
        <v>0</v>
      </c>
      <c r="O6" s="231">
        <f t="shared" si="0"/>
        <v>6294</v>
      </c>
      <c r="P6" s="231">
        <f t="shared" si="1"/>
        <v>5743</v>
      </c>
      <c r="Q6" s="231">
        <f t="shared" si="2"/>
        <v>0</v>
      </c>
      <c r="R6" s="231">
        <f t="shared" si="3"/>
        <v>0</v>
      </c>
      <c r="S6" s="326">
        <f t="shared" si="9"/>
        <v>12037</v>
      </c>
      <c r="T6" s="183"/>
      <c r="U6" s="165"/>
    </row>
    <row r="7" spans="1:21" s="175" customFormat="1" ht="16.5" customHeight="1" thickBot="1">
      <c r="A7" s="1106"/>
      <c r="B7" s="287" t="s">
        <v>45</v>
      </c>
      <c r="C7" s="316">
        <f>C5+C6</f>
        <v>6063.57</v>
      </c>
      <c r="D7" s="316">
        <f t="shared" ref="D7:N7" si="10">D5+D6</f>
        <v>6048.92</v>
      </c>
      <c r="E7" s="316">
        <f t="shared" si="10"/>
        <v>5448.66</v>
      </c>
      <c r="F7" s="316">
        <f t="shared" si="10"/>
        <v>6216.9800000000005</v>
      </c>
      <c r="G7" s="316">
        <f t="shared" si="10"/>
        <v>5129.3</v>
      </c>
      <c r="H7" s="316">
        <f t="shared" si="10"/>
        <v>5175.4299999999994</v>
      </c>
      <c r="I7" s="316">
        <f t="shared" si="10"/>
        <v>0</v>
      </c>
      <c r="J7" s="316">
        <f t="shared" si="10"/>
        <v>0</v>
      </c>
      <c r="K7" s="316">
        <f t="shared" si="10"/>
        <v>0</v>
      </c>
      <c r="L7" s="316">
        <f t="shared" si="10"/>
        <v>0</v>
      </c>
      <c r="M7" s="316">
        <f t="shared" si="10"/>
        <v>0</v>
      </c>
      <c r="N7" s="316">
        <f t="shared" si="10"/>
        <v>0</v>
      </c>
      <c r="O7" s="316">
        <f>O5+O6</f>
        <v>17561.150000000001</v>
      </c>
      <c r="P7" s="316">
        <f t="shared" ref="P7:R7" si="11">P5+P6</f>
        <v>16521.71</v>
      </c>
      <c r="Q7" s="316">
        <f t="shared" si="11"/>
        <v>0</v>
      </c>
      <c r="R7" s="316">
        <f t="shared" si="11"/>
        <v>0</v>
      </c>
      <c r="S7" s="327">
        <f>SUM(C7:N7)</f>
        <v>34082.86</v>
      </c>
      <c r="T7" s="179">
        <f>IFERROR(S7/$S$3,0)</f>
        <v>262.17584615384618</v>
      </c>
      <c r="U7" s="143"/>
    </row>
    <row r="8" spans="1:21" s="160" customFormat="1" ht="16.5" customHeight="1">
      <c r="A8" s="1104" t="s">
        <v>245</v>
      </c>
      <c r="B8" s="184" t="s">
        <v>190</v>
      </c>
      <c r="C8" s="322">
        <f>ROUND('OpStatTotals(AllServices)'!C24-'OpStatsTotals(MBTrailblazers)'!C41-'OpStatsTotals(DR)'!C9,0)</f>
        <v>65239</v>
      </c>
      <c r="D8" s="322">
        <f>ROUND('OpStatTotals(AllServices)'!D24-'OpStatsTotals(MBTrailblazers)'!D41-'OpStatsTotals(DR)'!D9,0)</f>
        <v>68247</v>
      </c>
      <c r="E8" s="322">
        <f>ROUND('OpStatTotals(AllServices)'!E24-'OpStatsTotals(MBTrailblazers)'!E41-'OpStatsTotals(DR)'!E9,0)</f>
        <v>61192</v>
      </c>
      <c r="F8" s="322">
        <f>ROUND('OpStatTotals(AllServices)'!F24-'OpStatsTotals(MBTrailblazers)'!F41-'OpStatsTotals(DR)'!F9,0)</f>
        <v>72200</v>
      </c>
      <c r="G8" s="322">
        <f>ROUND('OpStatTotals(AllServices)'!G24-'OpStatsTotals(MBTrailblazers)'!G41-'OpStatsTotals(DR)'!G9,0)</f>
        <v>56859</v>
      </c>
      <c r="H8" s="322">
        <f>ROUND('OpStatTotals(AllServices)'!H24-'OpStatsTotals(MBTrailblazers)'!H41-'OpStatsTotals(DR)'!H9,0)</f>
        <v>57857</v>
      </c>
      <c r="I8" s="322">
        <f>ROUND('OpStatTotals(AllServices)'!I24-'OpStatsTotals(MBTrailblazers)'!I41-'OpStatsTotals(DR)'!I9,0)</f>
        <v>0</v>
      </c>
      <c r="J8" s="322">
        <f>ROUND('OpStatTotals(AllServices)'!J24-'OpStatsTotals(MBTrailblazers)'!J41-'OpStatsTotals(DR)'!J9,0)</f>
        <v>0</v>
      </c>
      <c r="K8" s="322">
        <f>ROUND('OpStatTotals(AllServices)'!K24-'OpStatsTotals(MBTrailblazers)'!K41-'OpStatsTotals(DR)'!K9,0)</f>
        <v>0</v>
      </c>
      <c r="L8" s="322">
        <f>ROUND('OpStatTotals(AllServices)'!L24-'OpStatsTotals(MBTrailblazers)'!L41-'OpStatsTotals(DR)'!L9,0)</f>
        <v>0</v>
      </c>
      <c r="M8" s="322">
        <f>ROUND('OpStatTotals(AllServices)'!M24-'OpStatsTotals(MBTrailblazers)'!M41-'OpStatsTotals(DR)'!M9,0)</f>
        <v>0</v>
      </c>
      <c r="N8" s="322">
        <f>ROUND('OpStatTotals(AllServices)'!N24-'OpStatsTotals(MBTrailblazers)'!N41-'OpStatsTotals(DR)'!N9,0)</f>
        <v>0</v>
      </c>
      <c r="O8" s="231">
        <f>C8+D8+E8</f>
        <v>194678</v>
      </c>
      <c r="P8" s="231">
        <f>F8+G8+H8</f>
        <v>186916</v>
      </c>
      <c r="Q8" s="231">
        <f>I8+J8+K8</f>
        <v>0</v>
      </c>
      <c r="R8" s="231">
        <f>L8+M8+N8</f>
        <v>0</v>
      </c>
      <c r="S8" s="328">
        <f t="shared" ref="S8:S9" si="12">SUM(C8:N8)</f>
        <v>381594</v>
      </c>
      <c r="T8" s="182"/>
      <c r="U8" s="165"/>
    </row>
    <row r="9" spans="1:21" s="160" customFormat="1" ht="16.5" customHeight="1">
      <c r="A9" s="1105"/>
      <c r="B9" s="177" t="s">
        <v>280</v>
      </c>
      <c r="C9" s="322">
        <f>ROUND(Miles!C7+Miles!C8+Miles!C9-C36-C63,0)</f>
        <v>37078</v>
      </c>
      <c r="D9" s="322">
        <f>ROUND(Miles!D7+Miles!D8+Miles!D9-D36-D63,0)</f>
        <v>35524</v>
      </c>
      <c r="E9" s="322">
        <f>ROUND(Miles!E7+Miles!E8+Miles!E9-E36-E63,0)</f>
        <v>33901</v>
      </c>
      <c r="F9" s="322">
        <f>ROUND(Miles!F7+Miles!F8+Miles!F9-F36-F63,0)</f>
        <v>37360</v>
      </c>
      <c r="G9" s="322">
        <f>ROUND(Miles!G7+Miles!G8+Miles!G9-G36-G63,0)</f>
        <v>30484</v>
      </c>
      <c r="H9" s="322">
        <f>ROUND(Miles!H7+Miles!H8+Miles!H9-H36-H63,0)</f>
        <v>30633</v>
      </c>
      <c r="I9" s="322">
        <f>ROUND(Miles!I7+Miles!I8+Miles!I9-I36-I63,0)</f>
        <v>0</v>
      </c>
      <c r="J9" s="322">
        <f>ROUND(Miles!J7+Miles!J8+Miles!J9-J36-J63,0)</f>
        <v>0</v>
      </c>
      <c r="K9" s="322">
        <f>ROUND(Miles!K7+Miles!K8+Miles!K9-K36-K63,0)</f>
        <v>0</v>
      </c>
      <c r="L9" s="322">
        <f>ROUND(Miles!L7+Miles!L8+Miles!L9-L36-L63,0)</f>
        <v>0</v>
      </c>
      <c r="M9" s="322">
        <f>ROUND(Miles!M7+Miles!M8+Miles!M9-M36-M63,0)</f>
        <v>0</v>
      </c>
      <c r="N9" s="322">
        <f>ROUND(Miles!N7+Miles!N8+Miles!N9-N36-N63,0)</f>
        <v>0</v>
      </c>
      <c r="O9" s="231">
        <f>C9+D9+E9</f>
        <v>106503</v>
      </c>
      <c r="P9" s="231">
        <f>F9+G9+H9</f>
        <v>98477</v>
      </c>
      <c r="Q9" s="231">
        <f>I9+J9+K9</f>
        <v>0</v>
      </c>
      <c r="R9" s="231">
        <f>L9+M9+N9</f>
        <v>0</v>
      </c>
      <c r="S9" s="326">
        <f t="shared" si="12"/>
        <v>204980</v>
      </c>
      <c r="T9" s="183"/>
      <c r="U9" s="165"/>
    </row>
    <row r="10" spans="1:21" s="175" customFormat="1" ht="16.5" customHeight="1" thickBot="1">
      <c r="A10" s="1106"/>
      <c r="B10" s="287" t="s">
        <v>46</v>
      </c>
      <c r="C10" s="316">
        <f>C8+C9</f>
        <v>102317</v>
      </c>
      <c r="D10" s="316">
        <f t="shared" ref="D10" si="13">D8+D9</f>
        <v>103771</v>
      </c>
      <c r="E10" s="316">
        <f t="shared" ref="E10" si="14">E8+E9</f>
        <v>95093</v>
      </c>
      <c r="F10" s="316">
        <f t="shared" ref="F10" si="15">F8+F9</f>
        <v>109560</v>
      </c>
      <c r="G10" s="316">
        <f t="shared" ref="G10" si="16">G8+G9</f>
        <v>87343</v>
      </c>
      <c r="H10" s="316">
        <f t="shared" ref="H10" si="17">H8+H9</f>
        <v>88490</v>
      </c>
      <c r="I10" s="316">
        <f t="shared" ref="I10" si="18">I8+I9</f>
        <v>0</v>
      </c>
      <c r="J10" s="316">
        <f t="shared" ref="J10" si="19">J8+J9</f>
        <v>0</v>
      </c>
      <c r="K10" s="316">
        <f t="shared" ref="K10" si="20">K8+K9</f>
        <v>0</v>
      </c>
      <c r="L10" s="316">
        <f t="shared" ref="L10" si="21">L8+L9</f>
        <v>0</v>
      </c>
      <c r="M10" s="316">
        <f t="shared" ref="M10" si="22">M8+M9</f>
        <v>0</v>
      </c>
      <c r="N10" s="316">
        <f t="shared" ref="N10" si="23">N8+N9</f>
        <v>0</v>
      </c>
      <c r="O10" s="316">
        <f>O8+O9</f>
        <v>301181</v>
      </c>
      <c r="P10" s="316">
        <f t="shared" ref="P10" si="24">P8+P9</f>
        <v>285393</v>
      </c>
      <c r="Q10" s="316">
        <f t="shared" ref="Q10" si="25">Q8+Q9</f>
        <v>0</v>
      </c>
      <c r="R10" s="316">
        <f t="shared" ref="R10" si="26">R8+R9</f>
        <v>0</v>
      </c>
      <c r="S10" s="327">
        <f>SUM(C10:N10)</f>
        <v>586574</v>
      </c>
      <c r="T10" s="179">
        <f>IFERROR(S10/$S$3,0)</f>
        <v>4512.1076923076926</v>
      </c>
      <c r="U10" s="143"/>
    </row>
    <row r="11" spans="1:21" s="160" customFormat="1" ht="16.5" customHeight="1">
      <c r="A11" s="1104" t="s">
        <v>249</v>
      </c>
      <c r="B11" s="184" t="s">
        <v>190</v>
      </c>
      <c r="C11" s="323">
        <f>'OpStatTotals(AllServices)'!C25-'OpStatsTotals(MBTrailblazers)'!C45-'OpStatsTotals(DR)'!C12</f>
        <v>2879.3999999999996</v>
      </c>
      <c r="D11" s="323">
        <f>'OpStatTotals(AllServices)'!D25-'OpStatsTotals(MBTrailblazers)'!D45-'OpStatsTotals(DR)'!D12</f>
        <v>3041.1499999999996</v>
      </c>
      <c r="E11" s="323">
        <f>'OpStatTotals(AllServices)'!E25-'OpStatsTotals(MBTrailblazers)'!E45-'OpStatsTotals(DR)'!E12</f>
        <v>2744.12</v>
      </c>
      <c r="F11" s="323">
        <f>'OpStatTotals(AllServices)'!F25-'OpStatsTotals(MBTrailblazers)'!F45-'OpStatsTotals(DR)'!F12</f>
        <v>3239.1800000000003</v>
      </c>
      <c r="G11" s="323">
        <f>'OpStatTotals(AllServices)'!G25-'OpStatsTotals(MBTrailblazers)'!G45-'OpStatsTotals(DR)'!G12</f>
        <v>2540.1999999999998</v>
      </c>
      <c r="H11" s="323">
        <f>'OpStatTotals(AllServices)'!H25-'OpStatsTotals(MBTrailblazers)'!H45-'OpStatsTotals(DR)'!H12</f>
        <v>2580.67</v>
      </c>
      <c r="I11" s="323">
        <f>'OpStatTotals(AllServices)'!I25-'OpStatsTotals(MBTrailblazers)'!I45-'OpStatsTotals(DR)'!I12</f>
        <v>0</v>
      </c>
      <c r="J11" s="323">
        <f>'OpStatTotals(AllServices)'!J25-'OpStatsTotals(MBTrailblazers)'!J45-'OpStatsTotals(DR)'!J12</f>
        <v>0</v>
      </c>
      <c r="K11" s="323">
        <f>'OpStatTotals(AllServices)'!K25-'OpStatsTotals(MBTrailblazers)'!K45-'OpStatsTotals(DR)'!K12</f>
        <v>0</v>
      </c>
      <c r="L11" s="323">
        <f>'OpStatTotals(AllServices)'!L25-'OpStatsTotals(MBTrailblazers)'!L45-'OpStatsTotals(DR)'!L12</f>
        <v>0</v>
      </c>
      <c r="M11" s="323">
        <f>'OpStatTotals(AllServices)'!M25-'OpStatsTotals(MBTrailblazers)'!M45-'OpStatsTotals(DR)'!M12</f>
        <v>0</v>
      </c>
      <c r="N11" s="323">
        <f>'OpStatTotals(AllServices)'!N25-'OpStatsTotals(MBTrailblazers)'!N45-'OpStatsTotals(DR)'!N12</f>
        <v>0</v>
      </c>
      <c r="O11" s="231">
        <f>C11+D11+E11</f>
        <v>8664.6699999999983</v>
      </c>
      <c r="P11" s="231">
        <f>F11+G11+H11</f>
        <v>8360.0499999999993</v>
      </c>
      <c r="Q11" s="231">
        <f>I11+J11+K11</f>
        <v>0</v>
      </c>
      <c r="R11" s="231">
        <f>L11+M11+N11</f>
        <v>0</v>
      </c>
      <c r="S11" s="328">
        <f t="shared" ref="S11:S12" si="27">SUM(C11:N11)</f>
        <v>17024.72</v>
      </c>
      <c r="T11" s="187"/>
      <c r="U11" s="165"/>
    </row>
    <row r="12" spans="1:21" s="160" customFormat="1" ht="16.5" customHeight="1">
      <c r="A12" s="1105"/>
      <c r="B12" s="177" t="s">
        <v>148</v>
      </c>
      <c r="C12" s="322">
        <f>'OpStatTotals(AllServices)'!C16-'OpStatsTotals(DR)'!C39</f>
        <v>1672</v>
      </c>
      <c r="D12" s="322">
        <f>'OpStatTotals(AllServices)'!D16-'OpStatsTotals(DR)'!D39</f>
        <v>1650</v>
      </c>
      <c r="E12" s="322">
        <f>'OpStatTotals(AllServices)'!E16-'OpStatsTotals(DR)'!E39</f>
        <v>1530</v>
      </c>
      <c r="F12" s="322">
        <f>'OpStatTotals(AllServices)'!F16-'OpStatsTotals(DR)'!F39</f>
        <v>1693</v>
      </c>
      <c r="G12" s="322">
        <f>'OpStatTotals(AllServices)'!G16-'OpStatsTotals(DR)'!G39</f>
        <v>1351</v>
      </c>
      <c r="H12" s="322">
        <f>'OpStatTotals(AllServices)'!H16-'OpStatsTotals(DR)'!H39</f>
        <v>1379</v>
      </c>
      <c r="I12" s="322">
        <f>'OpStatTotals(AllServices)'!I16-'OpStatsTotals(DR)'!I39</f>
        <v>0</v>
      </c>
      <c r="J12" s="322">
        <f>'OpStatTotals(AllServices)'!J16-'OpStatsTotals(DR)'!J39</f>
        <v>0</v>
      </c>
      <c r="K12" s="322">
        <f>'OpStatTotals(AllServices)'!K16-'OpStatsTotals(DR)'!K39</f>
        <v>0</v>
      </c>
      <c r="L12" s="322">
        <f>'OpStatTotals(AllServices)'!L16-'OpStatsTotals(DR)'!L39</f>
        <v>0</v>
      </c>
      <c r="M12" s="322">
        <f>'OpStatTotals(AllServices)'!M16-'OpStatsTotals(DR)'!M39</f>
        <v>0</v>
      </c>
      <c r="N12" s="322">
        <f>'OpStatTotals(AllServices)'!N16-'OpStatsTotals(DR)'!N39</f>
        <v>0</v>
      </c>
      <c r="O12" s="231">
        <f>C12+D12+E12</f>
        <v>4852</v>
      </c>
      <c r="P12" s="231">
        <f>F12+G12+H12</f>
        <v>4423</v>
      </c>
      <c r="Q12" s="231">
        <f>I12+J12+K12</f>
        <v>0</v>
      </c>
      <c r="R12" s="231">
        <f>L12+M12+N12</f>
        <v>0</v>
      </c>
      <c r="S12" s="326">
        <f t="shared" si="27"/>
        <v>9275</v>
      </c>
      <c r="T12" s="183"/>
      <c r="U12" s="165"/>
    </row>
    <row r="13" spans="1:21" s="175" customFormat="1" ht="16.5" customHeight="1" thickBot="1">
      <c r="A13" s="1106"/>
      <c r="B13" s="287" t="s">
        <v>109</v>
      </c>
      <c r="C13" s="316">
        <f>C11+C12</f>
        <v>4551.3999999999996</v>
      </c>
      <c r="D13" s="316">
        <f t="shared" ref="D13:N13" si="28">D11+D12</f>
        <v>4691.1499999999996</v>
      </c>
      <c r="E13" s="316">
        <f t="shared" si="28"/>
        <v>4274.12</v>
      </c>
      <c r="F13" s="316">
        <f t="shared" si="28"/>
        <v>4932.18</v>
      </c>
      <c r="G13" s="316">
        <f t="shared" si="28"/>
        <v>3891.2</v>
      </c>
      <c r="H13" s="316">
        <f t="shared" si="28"/>
        <v>3959.67</v>
      </c>
      <c r="I13" s="316">
        <f t="shared" si="28"/>
        <v>0</v>
      </c>
      <c r="J13" s="316">
        <f t="shared" si="28"/>
        <v>0</v>
      </c>
      <c r="K13" s="316">
        <f t="shared" si="28"/>
        <v>0</v>
      </c>
      <c r="L13" s="316">
        <f t="shared" si="28"/>
        <v>0</v>
      </c>
      <c r="M13" s="316">
        <f t="shared" si="28"/>
        <v>0</v>
      </c>
      <c r="N13" s="316">
        <f t="shared" si="28"/>
        <v>0</v>
      </c>
      <c r="O13" s="316">
        <f>O11+O12</f>
        <v>13516.669999999998</v>
      </c>
      <c r="P13" s="316">
        <f t="shared" ref="P13" si="29">P11+P12</f>
        <v>12783.05</v>
      </c>
      <c r="Q13" s="316">
        <f t="shared" ref="Q13" si="30">Q11+Q12</f>
        <v>0</v>
      </c>
      <c r="R13" s="316">
        <f t="shared" ref="R13" si="31">R11+R12</f>
        <v>0</v>
      </c>
      <c r="S13" s="327">
        <f t="shared" ref="S13:S24" si="32">SUM(C13:N13)</f>
        <v>26299.72</v>
      </c>
      <c r="T13" s="179">
        <f>IFERROR(S13/$S$3,0)</f>
        <v>202.30553846153848</v>
      </c>
    </row>
    <row r="14" spans="1:21" s="160" customFormat="1" ht="16.5" customHeight="1">
      <c r="A14" s="1104" t="s">
        <v>246</v>
      </c>
      <c r="B14" s="178" t="s">
        <v>190</v>
      </c>
      <c r="C14" s="322">
        <f>'OpStatTotals(AllServices)'!C26-'OpStatsTotals(MBTrailblazers)'!C49-'OpStatsTotals(DR)'!C15</f>
        <v>51561</v>
      </c>
      <c r="D14" s="322">
        <f>'OpStatTotals(AllServices)'!D26-'OpStatsTotals(MBTrailblazers)'!D49-'OpStatsTotals(DR)'!D15</f>
        <v>54830</v>
      </c>
      <c r="E14" s="322">
        <f>'OpStatTotals(AllServices)'!E26-'OpStatsTotals(MBTrailblazers)'!E49-'OpStatsTotals(DR)'!E15</f>
        <v>50089</v>
      </c>
      <c r="F14" s="322">
        <f>'OpStatTotals(AllServices)'!F26-'OpStatsTotals(MBTrailblazers)'!F49-'OpStatsTotals(DR)'!F15</f>
        <v>59070</v>
      </c>
      <c r="G14" s="322">
        <f>'OpStatTotals(AllServices)'!G26-'OpStatsTotals(MBTrailblazers)'!G49-'OpStatsTotals(DR)'!G15</f>
        <v>45393</v>
      </c>
      <c r="H14" s="322">
        <f>'OpStatTotals(AllServices)'!H26-'OpStatsTotals(MBTrailblazers)'!H49-'OpStatsTotals(DR)'!H15</f>
        <v>46401</v>
      </c>
      <c r="I14" s="322">
        <f>'OpStatTotals(AllServices)'!I26-'OpStatsTotals(MBTrailblazers)'!I49-'OpStatsTotals(DR)'!I15</f>
        <v>0</v>
      </c>
      <c r="J14" s="322">
        <f>'OpStatTotals(AllServices)'!J26-'OpStatsTotals(MBTrailblazers)'!J49-'OpStatsTotals(DR)'!J15</f>
        <v>0</v>
      </c>
      <c r="K14" s="322">
        <f>'OpStatTotals(AllServices)'!K26-'OpStatsTotals(MBTrailblazers)'!K49-'OpStatsTotals(DR)'!K15</f>
        <v>0</v>
      </c>
      <c r="L14" s="322">
        <f>'OpStatTotals(AllServices)'!L26-'OpStatsTotals(MBTrailblazers)'!L49-'OpStatsTotals(DR)'!L15</f>
        <v>0</v>
      </c>
      <c r="M14" s="322">
        <f>'OpStatTotals(AllServices)'!M26-'OpStatsTotals(MBTrailblazers)'!M49-'OpStatsTotals(DR)'!M15</f>
        <v>0</v>
      </c>
      <c r="N14" s="322">
        <f>'OpStatTotals(AllServices)'!N26-'OpStatsTotals(MBTrailblazers)'!N49-'OpStatsTotals(DR)'!N15</f>
        <v>0</v>
      </c>
      <c r="O14" s="231">
        <f>C14+D14+E14</f>
        <v>156480</v>
      </c>
      <c r="P14" s="231">
        <f>F14+G14+H14</f>
        <v>150864</v>
      </c>
      <c r="Q14" s="231">
        <f>I14+J14+K14</f>
        <v>0</v>
      </c>
      <c r="R14" s="231">
        <f>L14+M14+N14</f>
        <v>0</v>
      </c>
      <c r="S14" s="326">
        <f t="shared" si="32"/>
        <v>307344</v>
      </c>
      <c r="T14" s="182"/>
      <c r="U14" s="165"/>
    </row>
    <row r="15" spans="1:21" s="160" customFormat="1" ht="16.5" customHeight="1">
      <c r="A15" s="1105"/>
      <c r="B15" s="177" t="s">
        <v>148</v>
      </c>
      <c r="C15" s="322">
        <f>'OpStatTotals(AllServices)'!C17-'OpStatsTotals(DR)'!C42</f>
        <v>29278</v>
      </c>
      <c r="D15" s="322">
        <f>'OpStatTotals(AllServices)'!D17-'OpStatsTotals(DR)'!D42</f>
        <v>28695</v>
      </c>
      <c r="E15" s="322">
        <f>'OpStatTotals(AllServices)'!E17-'OpStatsTotals(DR)'!E42</f>
        <v>27509</v>
      </c>
      <c r="F15" s="322">
        <f>'OpStatTotals(AllServices)'!F17-'OpStatsTotals(DR)'!F42</f>
        <v>30306</v>
      </c>
      <c r="G15" s="322">
        <f>'OpStatTotals(AllServices)'!G17-'OpStatsTotals(DR)'!G42</f>
        <v>23895</v>
      </c>
      <c r="H15" s="322">
        <f>'OpStatTotals(AllServices)'!H17-'OpStatsTotals(DR)'!H42</f>
        <v>24469</v>
      </c>
      <c r="I15" s="322">
        <f>'OpStatTotals(AllServices)'!I17-'OpStatsTotals(DR)'!I42</f>
        <v>0</v>
      </c>
      <c r="J15" s="322">
        <f>'OpStatTotals(AllServices)'!J17-'OpStatsTotals(DR)'!J42</f>
        <v>0</v>
      </c>
      <c r="K15" s="322">
        <f>'OpStatTotals(AllServices)'!K17-'OpStatsTotals(DR)'!K42</f>
        <v>0</v>
      </c>
      <c r="L15" s="322">
        <f>'OpStatTotals(AllServices)'!L17-'OpStatsTotals(DR)'!L42</f>
        <v>0</v>
      </c>
      <c r="M15" s="322">
        <f>'OpStatTotals(AllServices)'!M17-'OpStatsTotals(DR)'!M42</f>
        <v>0</v>
      </c>
      <c r="N15" s="322">
        <f>'OpStatTotals(AllServices)'!N17-'OpStatsTotals(DR)'!N42</f>
        <v>0</v>
      </c>
      <c r="O15" s="231">
        <f>C15+D15+E15</f>
        <v>85482</v>
      </c>
      <c r="P15" s="231">
        <f>F15+G15+H15</f>
        <v>78670</v>
      </c>
      <c r="Q15" s="231">
        <f>I15+J15+K15</f>
        <v>0</v>
      </c>
      <c r="R15" s="231">
        <f>L15+M15+N15</f>
        <v>0</v>
      </c>
      <c r="S15" s="326">
        <f t="shared" si="32"/>
        <v>164152</v>
      </c>
      <c r="T15" s="183"/>
      <c r="U15" s="165"/>
    </row>
    <row r="16" spans="1:21" s="175" customFormat="1" ht="16.5" customHeight="1" thickBot="1">
      <c r="A16" s="1106"/>
      <c r="B16" s="287" t="s">
        <v>47</v>
      </c>
      <c r="C16" s="316">
        <f>C14+C15</f>
        <v>80839</v>
      </c>
      <c r="D16" s="316">
        <f t="shared" ref="D16:N16" si="33">D14+D15</f>
        <v>83525</v>
      </c>
      <c r="E16" s="316">
        <f t="shared" si="33"/>
        <v>77598</v>
      </c>
      <c r="F16" s="316">
        <f t="shared" si="33"/>
        <v>89376</v>
      </c>
      <c r="G16" s="316">
        <f t="shared" si="33"/>
        <v>69288</v>
      </c>
      <c r="H16" s="316">
        <f t="shared" si="33"/>
        <v>70870</v>
      </c>
      <c r="I16" s="316">
        <f t="shared" si="33"/>
        <v>0</v>
      </c>
      <c r="J16" s="316">
        <f t="shared" si="33"/>
        <v>0</v>
      </c>
      <c r="K16" s="316">
        <f t="shared" si="33"/>
        <v>0</v>
      </c>
      <c r="L16" s="316">
        <f t="shared" si="33"/>
        <v>0</v>
      </c>
      <c r="M16" s="316">
        <f t="shared" si="33"/>
        <v>0</v>
      </c>
      <c r="N16" s="316">
        <f t="shared" si="33"/>
        <v>0</v>
      </c>
      <c r="O16" s="316">
        <f>O14+O15</f>
        <v>241962</v>
      </c>
      <c r="P16" s="316">
        <f t="shared" ref="P16" si="34">P14+P15</f>
        <v>229534</v>
      </c>
      <c r="Q16" s="316">
        <f t="shared" ref="Q16" si="35">Q14+Q15</f>
        <v>0</v>
      </c>
      <c r="R16" s="316">
        <f t="shared" ref="R16" si="36">R14+R15</f>
        <v>0</v>
      </c>
      <c r="S16" s="327">
        <f t="shared" ref="S16" si="37">SUM(C16:N16)</f>
        <v>471496</v>
      </c>
      <c r="T16" s="179">
        <f>IFERROR(S16/$S$3,0)</f>
        <v>3626.8923076923079</v>
      </c>
    </row>
    <row r="17" spans="1:41" s="160" customFormat="1" ht="16.5" customHeight="1">
      <c r="A17" s="1104" t="s">
        <v>251</v>
      </c>
      <c r="B17" s="184" t="s">
        <v>190</v>
      </c>
      <c r="C17" s="323">
        <f>'OpStatTotals(AllServices)'!C27-'OpStatsTotals(MBTrailblazers)'!C53-'OpStatsTotals(DR)'!C18</f>
        <v>61664</v>
      </c>
      <c r="D17" s="323">
        <f>'OpStatTotals(AllServices)'!D27-'OpStatsTotals(MBTrailblazers)'!D53-'OpStatsTotals(DR)'!D18</f>
        <v>65518</v>
      </c>
      <c r="E17" s="323">
        <f>'OpStatTotals(AllServices)'!E27-'OpStatsTotals(MBTrailblazers)'!E53-'OpStatsTotals(DR)'!E18</f>
        <v>61954</v>
      </c>
      <c r="F17" s="323">
        <f>'OpStatTotals(AllServices)'!F27-'OpStatsTotals(MBTrailblazers)'!F53-'OpStatsTotals(DR)'!F18</f>
        <v>71996</v>
      </c>
      <c r="G17" s="323">
        <f>'OpStatTotals(AllServices)'!G27-'OpStatsTotals(MBTrailblazers)'!G53-'OpStatsTotals(DR)'!G18</f>
        <v>57412</v>
      </c>
      <c r="H17" s="323">
        <f>'OpStatTotals(AllServices)'!H27-'OpStatsTotals(MBTrailblazers)'!H53-'OpStatsTotals(DR)'!H18</f>
        <v>57214</v>
      </c>
      <c r="I17" s="323">
        <f>'OpStatTotals(AllServices)'!I27-'OpStatsTotals(MBTrailblazers)'!I53-'OpStatsTotals(DR)'!I18</f>
        <v>0</v>
      </c>
      <c r="J17" s="323">
        <f>'OpStatTotals(AllServices)'!J27-'OpStatsTotals(MBTrailblazers)'!J53-'OpStatsTotals(DR)'!J18</f>
        <v>0</v>
      </c>
      <c r="K17" s="323">
        <f>'OpStatTotals(AllServices)'!K27-'OpStatsTotals(MBTrailblazers)'!K53-'OpStatsTotals(DR)'!K18</f>
        <v>0</v>
      </c>
      <c r="L17" s="323">
        <f>'OpStatTotals(AllServices)'!L27-'OpStatsTotals(MBTrailblazers)'!L53-'OpStatsTotals(DR)'!L18</f>
        <v>0</v>
      </c>
      <c r="M17" s="323">
        <f>'OpStatTotals(AllServices)'!M27-'OpStatsTotals(MBTrailblazers)'!M53-'OpStatsTotals(DR)'!M18</f>
        <v>0</v>
      </c>
      <c r="N17" s="323">
        <f>'OpStatTotals(AllServices)'!N27-'OpStatsTotals(MBTrailblazers)'!N53-'OpStatsTotals(DR)'!N18</f>
        <v>0</v>
      </c>
      <c r="O17" s="231">
        <f>C17+D17+E17</f>
        <v>189136</v>
      </c>
      <c r="P17" s="231">
        <f>F17+G17+H17</f>
        <v>186622</v>
      </c>
      <c r="Q17" s="231">
        <f>I17+J17+K17</f>
        <v>0</v>
      </c>
      <c r="R17" s="231">
        <f>L17+M17+N17</f>
        <v>0</v>
      </c>
      <c r="S17" s="328">
        <f t="shared" ref="S17:S19" si="38">SUM(C17:N17)</f>
        <v>375758</v>
      </c>
      <c r="T17" s="182"/>
      <c r="U17" s="165"/>
    </row>
    <row r="18" spans="1:41" s="160" customFormat="1" ht="16.5" customHeight="1">
      <c r="A18" s="1105"/>
      <c r="B18" s="177" t="s">
        <v>148</v>
      </c>
      <c r="C18" s="322">
        <f>'OpStatTotals(AllServices)'!C18-'OpStatsTotals(DR)'!C45</f>
        <v>34158</v>
      </c>
      <c r="D18" s="322">
        <f>'OpStatTotals(AllServices)'!D18-'OpStatsTotals(DR)'!D45</f>
        <v>32559</v>
      </c>
      <c r="E18" s="322">
        <f>'OpStatTotals(AllServices)'!E18-'OpStatsTotals(DR)'!E45</f>
        <v>29602</v>
      </c>
      <c r="F18" s="322">
        <f>'OpStatTotals(AllServices)'!F18-'OpStatsTotals(DR)'!F45</f>
        <v>35313</v>
      </c>
      <c r="G18" s="322">
        <f>'OpStatTotals(AllServices)'!G18-'OpStatsTotals(DR)'!G45</f>
        <v>28096</v>
      </c>
      <c r="H18" s="322">
        <f>'OpStatTotals(AllServices)'!H18-'OpStatsTotals(DR)'!H45</f>
        <v>29128</v>
      </c>
      <c r="I18" s="322">
        <f>'OpStatTotals(AllServices)'!I18-'OpStatsTotals(DR)'!I45</f>
        <v>0</v>
      </c>
      <c r="J18" s="322">
        <f>'OpStatTotals(AllServices)'!J18-'OpStatsTotals(DR)'!J45</f>
        <v>0</v>
      </c>
      <c r="K18" s="322">
        <f>'OpStatTotals(AllServices)'!K18-'OpStatsTotals(DR)'!K45</f>
        <v>0</v>
      </c>
      <c r="L18" s="322">
        <f>'OpStatTotals(AllServices)'!L18-'OpStatsTotals(DR)'!L45</f>
        <v>0</v>
      </c>
      <c r="M18" s="322">
        <f>'OpStatTotals(AllServices)'!M18-'OpStatsTotals(DR)'!M45</f>
        <v>0</v>
      </c>
      <c r="N18" s="322">
        <f>'OpStatTotals(AllServices)'!N18-'OpStatsTotals(DR)'!N45</f>
        <v>0</v>
      </c>
      <c r="O18" s="231">
        <f>C18+D18+E18</f>
        <v>96319</v>
      </c>
      <c r="P18" s="231">
        <f>F18+G18+H18</f>
        <v>92537</v>
      </c>
      <c r="Q18" s="231">
        <f>I18+J18+K18</f>
        <v>0</v>
      </c>
      <c r="R18" s="231">
        <f>L18+M18+N18</f>
        <v>0</v>
      </c>
      <c r="S18" s="326">
        <f t="shared" si="38"/>
        <v>188856</v>
      </c>
      <c r="T18" s="183"/>
      <c r="U18" s="165"/>
    </row>
    <row r="19" spans="1:41" s="160" customFormat="1" ht="16.5" customHeight="1" thickBot="1">
      <c r="A19" s="1106"/>
      <c r="B19" s="287" t="s">
        <v>241</v>
      </c>
      <c r="C19" s="316">
        <f>C17+C18</f>
        <v>95822</v>
      </c>
      <c r="D19" s="316">
        <f t="shared" ref="D19:N19" si="39">D17+D18</f>
        <v>98077</v>
      </c>
      <c r="E19" s="316">
        <f t="shared" si="39"/>
        <v>91556</v>
      </c>
      <c r="F19" s="316">
        <f t="shared" si="39"/>
        <v>107309</v>
      </c>
      <c r="G19" s="316">
        <f t="shared" si="39"/>
        <v>85508</v>
      </c>
      <c r="H19" s="316">
        <f t="shared" si="39"/>
        <v>86342</v>
      </c>
      <c r="I19" s="316">
        <f t="shared" si="39"/>
        <v>0</v>
      </c>
      <c r="J19" s="316">
        <f t="shared" si="39"/>
        <v>0</v>
      </c>
      <c r="K19" s="316">
        <f t="shared" si="39"/>
        <v>0</v>
      </c>
      <c r="L19" s="316">
        <f t="shared" si="39"/>
        <v>0</v>
      </c>
      <c r="M19" s="316">
        <f t="shared" si="39"/>
        <v>0</v>
      </c>
      <c r="N19" s="316">
        <f t="shared" si="39"/>
        <v>0</v>
      </c>
      <c r="O19" s="316">
        <f>O17+O18</f>
        <v>285455</v>
      </c>
      <c r="P19" s="316">
        <f t="shared" ref="P19" si="40">P17+P18</f>
        <v>279159</v>
      </c>
      <c r="Q19" s="316">
        <f t="shared" ref="Q19" si="41">Q17+Q18</f>
        <v>0</v>
      </c>
      <c r="R19" s="316">
        <f t="shared" ref="R19" si="42">R17+R18</f>
        <v>0</v>
      </c>
      <c r="S19" s="327">
        <f t="shared" si="38"/>
        <v>564614</v>
      </c>
      <c r="T19" s="179">
        <f>IFERROR(S19/$S$3,0)</f>
        <v>4343.1846153846154</v>
      </c>
      <c r="U19" s="164"/>
    </row>
    <row r="20" spans="1:41" s="160" customFormat="1" ht="16.5" customHeight="1">
      <c r="A20" s="1105" t="s">
        <v>260</v>
      </c>
      <c r="B20" s="178" t="s">
        <v>265</v>
      </c>
      <c r="C20" s="322">
        <f>Trips!H12-C47-C74</f>
        <v>523</v>
      </c>
      <c r="D20" s="322">
        <f>Trips!O12-D47-D74</f>
        <v>497</v>
      </c>
      <c r="E20" s="322">
        <f>Trips!V12-E47-E74</f>
        <v>499</v>
      </c>
      <c r="F20" s="322">
        <f>Trips!AC12-F47-F74</f>
        <v>543</v>
      </c>
      <c r="G20" s="322">
        <f>Trips!AJ12-G47-G74</f>
        <v>444</v>
      </c>
      <c r="H20" s="322">
        <f>Trips!AQ12-H47-H74</f>
        <v>457</v>
      </c>
      <c r="I20" s="322">
        <f>Trips!AX12-I47-I74</f>
        <v>0</v>
      </c>
      <c r="J20" s="322">
        <f>Trips!BE12-J47-J74</f>
        <v>0</v>
      </c>
      <c r="K20" s="322">
        <f>Trips!BL12-K47-K74</f>
        <v>0</v>
      </c>
      <c r="L20" s="322">
        <f>Trips!BS12-L47-L74</f>
        <v>0</v>
      </c>
      <c r="M20" s="322">
        <f>Trips!BZ12-M47-M74</f>
        <v>0</v>
      </c>
      <c r="N20" s="322">
        <f>Trips!CG12-N47-N74</f>
        <v>0</v>
      </c>
      <c r="O20" s="231">
        <f t="shared" ref="O20:O24" si="43">C20+D20+E20</f>
        <v>1519</v>
      </c>
      <c r="P20" s="231">
        <f t="shared" ref="P20:P24" si="44">F20+G20+H20</f>
        <v>1444</v>
      </c>
      <c r="Q20" s="231">
        <f t="shared" ref="Q20:Q24" si="45">I20+J20+K20</f>
        <v>0</v>
      </c>
      <c r="R20" s="231">
        <f t="shared" ref="R20:R24" si="46">L20+M20+N20</f>
        <v>0</v>
      </c>
      <c r="S20" s="326">
        <f t="shared" si="32"/>
        <v>2963</v>
      </c>
      <c r="T20" s="182"/>
      <c r="U20" s="165"/>
    </row>
    <row r="21" spans="1:41" s="160" customFormat="1" ht="16.5" customHeight="1">
      <c r="A21" s="1105"/>
      <c r="B21" s="177" t="s">
        <v>263</v>
      </c>
      <c r="C21" s="322">
        <f>(Trips!H7+Trips!H8+Trips!H9)-C48-C75</f>
        <v>3632</v>
      </c>
      <c r="D21" s="322">
        <f>Trips!O7+Trips!O8+Trips!O9-D48-D75</f>
        <v>3506</v>
      </c>
      <c r="E21" s="322">
        <f>Trips!V7+Trips!V8+Trips!V9-E48-E75</f>
        <v>3323</v>
      </c>
      <c r="F21" s="322">
        <f>Trips!AC7+Trips!AC8+Trips!AC9-F48-F75</f>
        <v>3810</v>
      </c>
      <c r="G21" s="322">
        <f>Trips!AJ7+Trips!AJ8+Trips!AJ9-G48-G75</f>
        <v>3013</v>
      </c>
      <c r="H21" s="322">
        <f>Trips!AQ7+Trips!AQ8+Trips!AQ9-H48-H75</f>
        <v>3208</v>
      </c>
      <c r="I21" s="322">
        <f>Trips!AX7+Trips!AX8+Trips!AX9-I48-I75</f>
        <v>0</v>
      </c>
      <c r="J21" s="322">
        <f>Trips!BE7+Trips!BE8+Trips!BE9-J48-J75</f>
        <v>0</v>
      </c>
      <c r="K21" s="322">
        <f>Trips!BL7+Trips!BL8+Trips!BL9-K48-K75</f>
        <v>0</v>
      </c>
      <c r="L21" s="322">
        <f>Trips!BS7+Trips!BS8+Trips!BS9-L48-L75</f>
        <v>0</v>
      </c>
      <c r="M21" s="322">
        <f>Trips!BZ7+Trips!BZ8+Trips!BZ9-M48-M75</f>
        <v>0</v>
      </c>
      <c r="N21" s="322">
        <f>Trips!CG7+Trips!CG8+Trips!CG9-N48-N75</f>
        <v>0</v>
      </c>
      <c r="O21" s="231">
        <f t="shared" si="43"/>
        <v>10461</v>
      </c>
      <c r="P21" s="231">
        <f t="shared" si="44"/>
        <v>10031</v>
      </c>
      <c r="Q21" s="231">
        <f t="shared" si="45"/>
        <v>0</v>
      </c>
      <c r="R21" s="231">
        <f t="shared" si="46"/>
        <v>0</v>
      </c>
      <c r="S21" s="326">
        <f t="shared" si="32"/>
        <v>20492</v>
      </c>
      <c r="T21" s="183"/>
      <c r="U21" s="165"/>
    </row>
    <row r="22" spans="1:41" s="160" customFormat="1" ht="16.5" customHeight="1">
      <c r="A22" s="1105"/>
      <c r="B22" s="289" t="s">
        <v>270</v>
      </c>
      <c r="C22" s="324">
        <f>C20+C21</f>
        <v>4155</v>
      </c>
      <c r="D22" s="324">
        <f t="shared" ref="D22:N22" si="47">D20+D21</f>
        <v>4003</v>
      </c>
      <c r="E22" s="324">
        <f t="shared" si="47"/>
        <v>3822</v>
      </c>
      <c r="F22" s="324">
        <f t="shared" si="47"/>
        <v>4353</v>
      </c>
      <c r="G22" s="324">
        <f t="shared" si="47"/>
        <v>3457</v>
      </c>
      <c r="H22" s="324">
        <f t="shared" si="47"/>
        <v>3665</v>
      </c>
      <c r="I22" s="324">
        <f t="shared" si="47"/>
        <v>0</v>
      </c>
      <c r="J22" s="324">
        <f t="shared" si="47"/>
        <v>0</v>
      </c>
      <c r="K22" s="324">
        <f t="shared" si="47"/>
        <v>0</v>
      </c>
      <c r="L22" s="324">
        <f t="shared" si="47"/>
        <v>0</v>
      </c>
      <c r="M22" s="324">
        <f t="shared" si="47"/>
        <v>0</v>
      </c>
      <c r="N22" s="324">
        <f t="shared" si="47"/>
        <v>0</v>
      </c>
      <c r="O22" s="324">
        <f t="shared" si="43"/>
        <v>11980</v>
      </c>
      <c r="P22" s="324">
        <f t="shared" si="44"/>
        <v>11475</v>
      </c>
      <c r="Q22" s="324">
        <f t="shared" si="45"/>
        <v>0</v>
      </c>
      <c r="R22" s="324">
        <f t="shared" si="46"/>
        <v>0</v>
      </c>
      <c r="S22" s="329">
        <f t="shared" si="32"/>
        <v>23455</v>
      </c>
      <c r="T22" s="145"/>
      <c r="U22" s="165"/>
    </row>
    <row r="23" spans="1:41" s="160" customFormat="1" ht="16.5" customHeight="1">
      <c r="A23" s="1105"/>
      <c r="B23" s="289" t="s">
        <v>264</v>
      </c>
      <c r="C23" s="324">
        <f>(Trips!H20+Trips!H27)-C50-C77</f>
        <v>422</v>
      </c>
      <c r="D23" s="324">
        <f>Trips!O20+Trips!O27-D50-D77</f>
        <v>806</v>
      </c>
      <c r="E23" s="324">
        <f>Trips!V20+Trips!V27-E50-E77</f>
        <v>532</v>
      </c>
      <c r="F23" s="324">
        <f>Trips!AC20+Trips!AC27-F50-F77</f>
        <v>977</v>
      </c>
      <c r="G23" s="324">
        <f>Trips!AJ20+Trips!AJ27-G50-G77</f>
        <v>740</v>
      </c>
      <c r="H23" s="324">
        <f>Trips!AQ20+Trips!AQ27-H50-H77</f>
        <v>549</v>
      </c>
      <c r="I23" s="324">
        <f>Trips!AX20+Trips!AX27-I50-I77</f>
        <v>0</v>
      </c>
      <c r="J23" s="324">
        <f>Trips!BE20+Trips!BE27-J50-J77</f>
        <v>0</v>
      </c>
      <c r="K23" s="324">
        <f>Trips!BL20+Trips!BL27-K50-K77</f>
        <v>0</v>
      </c>
      <c r="L23" s="324">
        <f>Trips!BS20+Trips!BS27-L50-L77</f>
        <v>0</v>
      </c>
      <c r="M23" s="324">
        <f>Trips!BZ20+Trips!BZ27-M50-M77</f>
        <v>0</v>
      </c>
      <c r="N23" s="324">
        <f>Trips!CG20+Trips!CG27-N50-N77</f>
        <v>0</v>
      </c>
      <c r="O23" s="324">
        <f t="shared" si="43"/>
        <v>1760</v>
      </c>
      <c r="P23" s="324">
        <f t="shared" si="44"/>
        <v>2266</v>
      </c>
      <c r="Q23" s="324">
        <f t="shared" si="45"/>
        <v>0</v>
      </c>
      <c r="R23" s="324">
        <f t="shared" si="46"/>
        <v>0</v>
      </c>
      <c r="S23" s="329">
        <f t="shared" si="32"/>
        <v>4026</v>
      </c>
      <c r="T23" s="145"/>
      <c r="U23" s="165"/>
    </row>
    <row r="24" spans="1:41" s="160" customFormat="1" ht="16.5" customHeight="1">
      <c r="A24" s="1105"/>
      <c r="B24" s="289" t="s">
        <v>271</v>
      </c>
      <c r="C24" s="324">
        <f>'OpStatTotals(AllServices)'!C28-'OpStatsTotals(MBTrailblazers)'!C57-'OpStatsTotals(DR)'!C22-'OpStatsTotals(DR)'!C23</f>
        <v>5288</v>
      </c>
      <c r="D24" s="324">
        <f>'OpStatTotals(AllServices)'!D28-'OpStatsTotals(MBTrailblazers)'!D57-'OpStatsTotals(DR)'!D22-'OpStatsTotals(DR)'!D23</f>
        <v>5407</v>
      </c>
      <c r="E24" s="324">
        <f>'OpStatTotals(AllServices)'!E28-'OpStatsTotals(MBTrailblazers)'!E57-'OpStatsTotals(DR)'!E22-'OpStatsTotals(DR)'!E23</f>
        <v>5183</v>
      </c>
      <c r="F24" s="324">
        <f>'OpStatTotals(AllServices)'!F28-'OpStatsTotals(MBTrailblazers)'!F57-'OpStatsTotals(DR)'!F22-'OpStatsTotals(DR)'!F23</f>
        <v>5779</v>
      </c>
      <c r="G24" s="324">
        <f>'OpStatTotals(AllServices)'!G28-'OpStatsTotals(MBTrailblazers)'!G57-'OpStatsTotals(DR)'!G22-'OpStatsTotals(DR)'!G23</f>
        <v>4558</v>
      </c>
      <c r="H24" s="324">
        <f>'OpStatTotals(AllServices)'!H28-'OpStatsTotals(MBTrailblazers)'!H57-'OpStatsTotals(DR)'!H22-'OpStatsTotals(DR)'!H23</f>
        <v>4801.2060000000001</v>
      </c>
      <c r="I24" s="324">
        <f>'OpStatTotals(AllServices)'!I28-'OpStatsTotals(MBTrailblazers)'!I57-'OpStatsTotals(DR)'!I22-'OpStatsTotals(DR)'!I23</f>
        <v>0</v>
      </c>
      <c r="J24" s="324">
        <f>'OpStatTotals(AllServices)'!J28-'OpStatsTotals(MBTrailblazers)'!J57-'OpStatsTotals(DR)'!J22-'OpStatsTotals(DR)'!J23</f>
        <v>0</v>
      </c>
      <c r="K24" s="324">
        <f>'OpStatTotals(AllServices)'!K28-'OpStatsTotals(MBTrailblazers)'!K57-'OpStatsTotals(DR)'!K22-'OpStatsTotals(DR)'!K23</f>
        <v>0</v>
      </c>
      <c r="L24" s="324">
        <f>'OpStatTotals(AllServices)'!L28-'OpStatsTotals(MBTrailblazers)'!L57-'OpStatsTotals(DR)'!L22-'OpStatsTotals(DR)'!L23</f>
        <v>0</v>
      </c>
      <c r="M24" s="324">
        <f>'OpStatTotals(AllServices)'!M28-'OpStatsTotals(MBTrailblazers)'!M57-'OpStatsTotals(DR)'!M22-'OpStatsTotals(DR)'!M23</f>
        <v>0</v>
      </c>
      <c r="N24" s="324">
        <f>'OpStatTotals(AllServices)'!N28-'OpStatsTotals(MBTrailblazers)'!N57-'OpStatsTotals(DR)'!N22-'OpStatsTotals(DR)'!N23</f>
        <v>0</v>
      </c>
      <c r="O24" s="324">
        <f t="shared" si="43"/>
        <v>15878</v>
      </c>
      <c r="P24" s="324">
        <f t="shared" si="44"/>
        <v>15138.206</v>
      </c>
      <c r="Q24" s="324">
        <f t="shared" si="45"/>
        <v>0</v>
      </c>
      <c r="R24" s="324">
        <f t="shared" si="46"/>
        <v>0</v>
      </c>
      <c r="S24" s="329">
        <f t="shared" si="32"/>
        <v>31016.205999999998</v>
      </c>
      <c r="T24" s="145"/>
      <c r="U24" s="165"/>
    </row>
    <row r="25" spans="1:41" s="175" customFormat="1" ht="16.5" customHeight="1" thickBot="1">
      <c r="A25" s="1106"/>
      <c r="B25" s="287" t="s">
        <v>269</v>
      </c>
      <c r="C25" s="316">
        <f>SUM(C22:C24)</f>
        <v>9865</v>
      </c>
      <c r="D25" s="316">
        <f t="shared" ref="D25:S25" si="48">SUM(D22:D24)</f>
        <v>10216</v>
      </c>
      <c r="E25" s="316">
        <f t="shared" si="48"/>
        <v>9537</v>
      </c>
      <c r="F25" s="316">
        <f t="shared" si="48"/>
        <v>11109</v>
      </c>
      <c r="G25" s="316">
        <f t="shared" si="48"/>
        <v>8755</v>
      </c>
      <c r="H25" s="316">
        <f t="shared" si="48"/>
        <v>9015.2060000000001</v>
      </c>
      <c r="I25" s="316">
        <f t="shared" si="48"/>
        <v>0</v>
      </c>
      <c r="J25" s="316">
        <f t="shared" si="48"/>
        <v>0</v>
      </c>
      <c r="K25" s="316">
        <f t="shared" si="48"/>
        <v>0</v>
      </c>
      <c r="L25" s="316">
        <f t="shared" si="48"/>
        <v>0</v>
      </c>
      <c r="M25" s="316">
        <f t="shared" si="48"/>
        <v>0</v>
      </c>
      <c r="N25" s="316">
        <f t="shared" si="48"/>
        <v>0</v>
      </c>
      <c r="O25" s="316">
        <f t="shared" si="48"/>
        <v>29618</v>
      </c>
      <c r="P25" s="316">
        <f t="shared" si="48"/>
        <v>28879.205999999998</v>
      </c>
      <c r="Q25" s="316">
        <f t="shared" si="48"/>
        <v>0</v>
      </c>
      <c r="R25" s="316">
        <f t="shared" si="48"/>
        <v>0</v>
      </c>
      <c r="S25" s="327">
        <f t="shared" si="48"/>
        <v>58497.205999999998</v>
      </c>
      <c r="T25" s="179">
        <f>IFERROR(S25/$S$3,0)</f>
        <v>449.97850769230769</v>
      </c>
      <c r="U25" s="143"/>
    </row>
    <row r="26" spans="1:41" s="850" customFormat="1" ht="16.95" customHeight="1">
      <c r="A26" s="1087" t="s">
        <v>268</v>
      </c>
      <c r="B26" s="312" t="s">
        <v>250</v>
      </c>
      <c r="C26" s="313">
        <f t="shared" ref="C26:N26" si="49">C7-C13</f>
        <v>1512.17</v>
      </c>
      <c r="D26" s="313">
        <f t="shared" si="49"/>
        <v>1357.7700000000004</v>
      </c>
      <c r="E26" s="313">
        <f t="shared" si="49"/>
        <v>1174.54</v>
      </c>
      <c r="F26" s="313">
        <f t="shared" si="49"/>
        <v>1284.8000000000002</v>
      </c>
      <c r="G26" s="313">
        <f t="shared" si="49"/>
        <v>1238.1000000000004</v>
      </c>
      <c r="H26" s="313">
        <f t="shared" si="49"/>
        <v>1215.7599999999993</v>
      </c>
      <c r="I26" s="313">
        <f t="shared" si="49"/>
        <v>0</v>
      </c>
      <c r="J26" s="313">
        <f t="shared" si="49"/>
        <v>0</v>
      </c>
      <c r="K26" s="313">
        <f t="shared" si="49"/>
        <v>0</v>
      </c>
      <c r="L26" s="313">
        <f t="shared" si="49"/>
        <v>0</v>
      </c>
      <c r="M26" s="313">
        <f t="shared" si="49"/>
        <v>0</v>
      </c>
      <c r="N26" s="313">
        <f t="shared" si="49"/>
        <v>0</v>
      </c>
      <c r="O26" s="313">
        <f>C26+D26+E26</f>
        <v>4044.4800000000005</v>
      </c>
      <c r="P26" s="313">
        <f>F26+G26+H26</f>
        <v>3738.66</v>
      </c>
      <c r="Q26" s="313">
        <f>I26+J26+K26</f>
        <v>0</v>
      </c>
      <c r="R26" s="313">
        <f>L26+M26+N26</f>
        <v>0</v>
      </c>
      <c r="S26" s="313">
        <f t="shared" ref="S26" si="50">SUM(C26:N26)</f>
        <v>7783.14</v>
      </c>
      <c r="T26" s="338">
        <f>T7-T13</f>
        <v>59.870307692307705</v>
      </c>
      <c r="U26" s="161"/>
    </row>
    <row r="27" spans="1:41" s="850" customFormat="1" ht="16.95" customHeight="1">
      <c r="A27" s="1088"/>
      <c r="B27" s="312" t="s">
        <v>247</v>
      </c>
      <c r="C27" s="313">
        <f t="shared" ref="C27:T27" si="51">C10-C16</f>
        <v>21478</v>
      </c>
      <c r="D27" s="313">
        <f t="shared" si="51"/>
        <v>20246</v>
      </c>
      <c r="E27" s="313">
        <f t="shared" si="51"/>
        <v>17495</v>
      </c>
      <c r="F27" s="313">
        <f t="shared" si="51"/>
        <v>20184</v>
      </c>
      <c r="G27" s="313">
        <f t="shared" si="51"/>
        <v>18055</v>
      </c>
      <c r="H27" s="313">
        <f t="shared" si="51"/>
        <v>17620</v>
      </c>
      <c r="I27" s="313">
        <f t="shared" si="51"/>
        <v>0</v>
      </c>
      <c r="J27" s="313">
        <f t="shared" si="51"/>
        <v>0</v>
      </c>
      <c r="K27" s="313">
        <f t="shared" si="51"/>
        <v>0</v>
      </c>
      <c r="L27" s="313">
        <f t="shared" si="51"/>
        <v>0</v>
      </c>
      <c r="M27" s="313">
        <f t="shared" si="51"/>
        <v>0</v>
      </c>
      <c r="N27" s="313">
        <f t="shared" si="51"/>
        <v>0</v>
      </c>
      <c r="O27" s="313">
        <f t="shared" si="51"/>
        <v>59219</v>
      </c>
      <c r="P27" s="313">
        <f t="shared" si="51"/>
        <v>55859</v>
      </c>
      <c r="Q27" s="313">
        <f t="shared" si="51"/>
        <v>0</v>
      </c>
      <c r="R27" s="313">
        <f t="shared" si="51"/>
        <v>0</v>
      </c>
      <c r="S27" s="313">
        <f t="shared" si="51"/>
        <v>115078</v>
      </c>
      <c r="T27" s="338">
        <f t="shared" si="51"/>
        <v>885.21538461538466</v>
      </c>
      <c r="U27" s="161"/>
    </row>
    <row r="28" spans="1:41" s="850" customFormat="1" ht="16.95" customHeight="1">
      <c r="A28" s="1089"/>
      <c r="B28" s="312" t="s">
        <v>261</v>
      </c>
      <c r="C28" s="314">
        <f t="shared" ref="C28:S28" si="52">IFERROR(C27/C26,0)</f>
        <v>14.203429508586996</v>
      </c>
      <c r="D28" s="314">
        <f t="shared" si="52"/>
        <v>14.91121471235923</v>
      </c>
      <c r="E28" s="314">
        <f t="shared" si="52"/>
        <v>14.895193011732253</v>
      </c>
      <c r="F28" s="314">
        <f t="shared" si="52"/>
        <v>15.709838107098379</v>
      </c>
      <c r="G28" s="314">
        <f t="shared" si="52"/>
        <v>14.582828527582581</v>
      </c>
      <c r="H28" s="314">
        <f t="shared" si="52"/>
        <v>14.492992037902226</v>
      </c>
      <c r="I28" s="314">
        <f t="shared" si="52"/>
        <v>0</v>
      </c>
      <c r="J28" s="314">
        <f t="shared" si="52"/>
        <v>0</v>
      </c>
      <c r="K28" s="314">
        <f t="shared" si="52"/>
        <v>0</v>
      </c>
      <c r="L28" s="314">
        <f t="shared" si="52"/>
        <v>0</v>
      </c>
      <c r="M28" s="314">
        <f t="shared" si="52"/>
        <v>0</v>
      </c>
      <c r="N28" s="314">
        <f t="shared" si="52"/>
        <v>0</v>
      </c>
      <c r="O28" s="314">
        <f t="shared" si="52"/>
        <v>14.641931719281587</v>
      </c>
      <c r="P28" s="314">
        <f t="shared" si="52"/>
        <v>14.940914659262946</v>
      </c>
      <c r="Q28" s="314">
        <f t="shared" si="52"/>
        <v>0</v>
      </c>
      <c r="R28" s="314">
        <f t="shared" si="52"/>
        <v>0</v>
      </c>
      <c r="S28" s="314">
        <f t="shared" si="52"/>
        <v>14.785549277027009</v>
      </c>
      <c r="T28" s="318">
        <f>IFERROR(T27/T26,0)</f>
        <v>14.785549277027007</v>
      </c>
      <c r="U28" s="161"/>
    </row>
    <row r="29" spans="1:41" ht="6" customHeight="1" thickBot="1">
      <c r="A29" s="258"/>
      <c r="B29" s="259"/>
      <c r="C29" s="259"/>
      <c r="D29" s="259"/>
      <c r="E29" s="259"/>
      <c r="F29" s="259"/>
      <c r="G29" s="259"/>
      <c r="H29" s="259"/>
      <c r="I29" s="259"/>
      <c r="J29" s="259"/>
      <c r="K29" s="259"/>
      <c r="L29" s="259"/>
      <c r="M29" s="259"/>
      <c r="N29" s="259"/>
      <c r="O29" s="260"/>
      <c r="P29" s="260"/>
      <c r="Q29" s="260"/>
      <c r="R29" s="260"/>
      <c r="S29" s="261"/>
      <c r="T29" s="171"/>
      <c r="V29" s="82"/>
      <c r="W29" s="82"/>
      <c r="X29" s="82"/>
      <c r="Y29" s="82"/>
      <c r="Z29" s="82"/>
      <c r="AA29" s="82"/>
      <c r="AB29" s="82"/>
      <c r="AC29" s="82"/>
      <c r="AD29" s="82"/>
      <c r="AE29" s="82"/>
      <c r="AF29" s="82"/>
      <c r="AG29" s="82"/>
      <c r="AH29" s="82"/>
      <c r="AI29" s="82"/>
      <c r="AJ29" s="82"/>
      <c r="AK29" s="82"/>
      <c r="AL29" s="82"/>
      <c r="AM29" s="82"/>
      <c r="AN29" s="82"/>
      <c r="AO29" s="82"/>
    </row>
    <row r="30" spans="1:41" s="190" customFormat="1" ht="16.5" customHeight="1">
      <c r="A30" s="1102" t="s">
        <v>389</v>
      </c>
      <c r="B30" s="286" t="s">
        <v>187</v>
      </c>
      <c r="C30" s="284">
        <f>'OpStatTotals(AllServices)'!C33</f>
        <v>4</v>
      </c>
      <c r="D30" s="317">
        <f>'OpStatTotals(AllServices)'!D33</f>
        <v>5</v>
      </c>
      <c r="E30" s="317">
        <f>'OpStatTotals(AllServices)'!E33</f>
        <v>4</v>
      </c>
      <c r="F30" s="317">
        <f>'OpStatTotals(AllServices)'!F33</f>
        <v>4</v>
      </c>
      <c r="G30" s="317">
        <f>'OpStatTotals(AllServices)'!G33</f>
        <v>5</v>
      </c>
      <c r="H30" s="317">
        <f>'OpStatTotals(AllServices)'!H33</f>
        <v>4</v>
      </c>
      <c r="I30" s="317">
        <f>'OpStatTotals(AllServices)'!I33</f>
        <v>0</v>
      </c>
      <c r="J30" s="317">
        <f>'OpStatTotals(AllServices)'!J33</f>
        <v>0</v>
      </c>
      <c r="K30" s="317">
        <f>'OpStatTotals(AllServices)'!K33</f>
        <v>0</v>
      </c>
      <c r="L30" s="317">
        <f>'OpStatTotals(AllServices)'!L33</f>
        <v>0</v>
      </c>
      <c r="M30" s="317">
        <f>'OpStatTotals(AllServices)'!M33</f>
        <v>0</v>
      </c>
      <c r="N30" s="317">
        <f>'OpStatTotals(AllServices)'!N33</f>
        <v>0</v>
      </c>
      <c r="O30" s="317">
        <f>C30+D30+E30</f>
        <v>13</v>
      </c>
      <c r="P30" s="317">
        <f>F30+G30+H30</f>
        <v>13</v>
      </c>
      <c r="Q30" s="317">
        <f>I30+J30+K30</f>
        <v>0</v>
      </c>
      <c r="R30" s="317">
        <f>L30+M30+N30</f>
        <v>0</v>
      </c>
      <c r="S30" s="330">
        <f>SUM(C30:N30)</f>
        <v>26</v>
      </c>
      <c r="T30" s="145"/>
      <c r="U30" s="162"/>
    </row>
    <row r="31" spans="1:41" s="849" customFormat="1" ht="16.5" customHeight="1" thickBot="1">
      <c r="A31" s="1103"/>
      <c r="B31" s="229" t="s">
        <v>244</v>
      </c>
      <c r="C31" s="331">
        <f>'3b-RM Report Data'!J105-'3b-RM Report Data'!J110</f>
        <v>8</v>
      </c>
      <c r="D31" s="331">
        <f>'3b-RM Report Data'!Q105-'3b-RM Report Data'!Q110</f>
        <v>8</v>
      </c>
      <c r="E31" s="331">
        <f>'3b-RM Report Data'!X105-'3b-RM Report Data'!X110</f>
        <v>8</v>
      </c>
      <c r="F31" s="331">
        <f>'3b-RM Report Data'!AE105-'3b-RM Report Data'!AE110</f>
        <v>8</v>
      </c>
      <c r="G31" s="331">
        <f>'3b-RM Report Data'!AL105-'3b-RM Report Data'!AL110</f>
        <v>8</v>
      </c>
      <c r="H31" s="331">
        <f>'3b-RM Report Data'!AS105-'3b-RM Report Data'!AS110</f>
        <v>8</v>
      </c>
      <c r="I31" s="331">
        <f>'3b-RM Report Data'!AZ105-'3b-RM Report Data'!AZ110</f>
        <v>8</v>
      </c>
      <c r="J31" s="331">
        <f>'3b-RM Report Data'!BG105-'3b-RM Report Data'!BG110</f>
        <v>8</v>
      </c>
      <c r="K31" s="331">
        <f>'3b-RM Report Data'!BN105-'3b-RM Report Data'!BN110</f>
        <v>8</v>
      </c>
      <c r="L31" s="331">
        <f>'3b-RM Report Data'!BU105-'3b-RM Report Data'!BU110</f>
        <v>8</v>
      </c>
      <c r="M31" s="331">
        <f>'3b-RM Report Data'!CB105-'3b-RM Report Data'!CB110</f>
        <v>8</v>
      </c>
      <c r="N31" s="331">
        <f>'3b-RM Report Data'!CI105-'3b-RM Report Data'!CI110</f>
        <v>8</v>
      </c>
      <c r="O31" s="255">
        <f t="shared" ref="O31" si="53">MAX(C31,D31,E31)</f>
        <v>8</v>
      </c>
      <c r="P31" s="255">
        <f t="shared" ref="P31" si="54">MAX(F31,G31,H31)</f>
        <v>8</v>
      </c>
      <c r="Q31" s="255">
        <f t="shared" ref="Q31" si="55">MAX(I31,J31,K31)</f>
        <v>8</v>
      </c>
      <c r="R31" s="255">
        <f t="shared" ref="R31" si="56">MAX(L31,M31,N31)</f>
        <v>8</v>
      </c>
      <c r="S31" s="315">
        <f t="shared" ref="S31" si="57">MAX(C31:N31)</f>
        <v>8</v>
      </c>
      <c r="T31" s="173">
        <f>S31</f>
        <v>8</v>
      </c>
      <c r="U31" s="163"/>
    </row>
    <row r="32" spans="1:41" s="160" customFormat="1" ht="16.5" customHeight="1">
      <c r="A32" s="1091" t="s">
        <v>248</v>
      </c>
      <c r="B32" s="178" t="s">
        <v>190</v>
      </c>
      <c r="C32" s="180">
        <f>'OpStatTotals(AllServices)'!C35-'OpStatsTotals(MBTrailblazers)'!C67-C33</f>
        <v>145</v>
      </c>
      <c r="D32" s="180">
        <f>'OpStatTotals(AllServices)'!D35-'OpStatsTotals(MBTrailblazers)'!D67-D33</f>
        <v>177</v>
      </c>
      <c r="E32" s="180">
        <f>'OpStatTotals(AllServices)'!E35-'OpStatsTotals(MBTrailblazers)'!E67-E33</f>
        <v>128</v>
      </c>
      <c r="F32" s="180">
        <f>'OpStatTotals(AllServices)'!F35-'OpStatsTotals(MBTrailblazers)'!F67-F33</f>
        <v>125</v>
      </c>
      <c r="G32" s="180">
        <f>'OpStatTotals(AllServices)'!G35-'OpStatsTotals(MBTrailblazers)'!G67-G33</f>
        <v>148</v>
      </c>
      <c r="H32" s="180">
        <f>'OpStatTotals(AllServices)'!H35-'OpStatsTotals(MBTrailblazers)'!H67-H33</f>
        <v>114</v>
      </c>
      <c r="I32" s="180">
        <f>'OpStatTotals(AllServices)'!I35-'OpStatsTotals(MBTrailblazers)'!I67-I33</f>
        <v>0</v>
      </c>
      <c r="J32" s="180">
        <f>'OpStatTotals(AllServices)'!J35-'OpStatsTotals(MBTrailblazers)'!J67-J33</f>
        <v>0</v>
      </c>
      <c r="K32" s="180">
        <f>'OpStatTotals(AllServices)'!K35-'OpStatsTotals(MBTrailblazers)'!K67-K33</f>
        <v>0</v>
      </c>
      <c r="L32" s="180">
        <f>'OpStatTotals(AllServices)'!L35-'OpStatsTotals(MBTrailblazers)'!L67-L33</f>
        <v>0</v>
      </c>
      <c r="M32" s="180">
        <f>'OpStatTotals(AllServices)'!M35-'OpStatsTotals(MBTrailblazers)'!M67-M33</f>
        <v>0</v>
      </c>
      <c r="N32" s="180">
        <f>'OpStatTotals(AllServices)'!N35-'OpStatsTotals(MBTrailblazers)'!N67-N33</f>
        <v>0</v>
      </c>
      <c r="O32" s="266">
        <f>C32+D32+E32</f>
        <v>450</v>
      </c>
      <c r="P32" s="266">
        <f>F32+G32+H32</f>
        <v>387</v>
      </c>
      <c r="Q32" s="266">
        <f>I32+J32+K32</f>
        <v>0</v>
      </c>
      <c r="R32" s="266">
        <f>L32+M32+N32</f>
        <v>0</v>
      </c>
      <c r="S32" s="181">
        <f t="shared" ref="S32:S33" si="58">SUM(C32:N32)</f>
        <v>837</v>
      </c>
      <c r="T32" s="182"/>
      <c r="U32" s="165"/>
    </row>
    <row r="33" spans="1:21" s="160" customFormat="1" ht="16.5" customHeight="1">
      <c r="A33" s="1091"/>
      <c r="B33" s="177" t="s">
        <v>148</v>
      </c>
      <c r="C33" s="322">
        <f>'3b-RM Report Data'!J20</f>
        <v>235</v>
      </c>
      <c r="D33" s="322">
        <f>'3b-RM Report Data'!Q20</f>
        <v>263</v>
      </c>
      <c r="E33" s="322">
        <f>'3b-RM Report Data'!X20</f>
        <v>218</v>
      </c>
      <c r="F33" s="322">
        <f>'3b-RM Report Data'!AE20</f>
        <v>186</v>
      </c>
      <c r="G33" s="322">
        <f>'3b-RM Report Data'!AL20</f>
        <v>213</v>
      </c>
      <c r="H33" s="322">
        <f>'3b-RM Report Data'!AS20</f>
        <v>176</v>
      </c>
      <c r="I33" s="322">
        <f>'3b-RM Report Data'!AZ20</f>
        <v>0</v>
      </c>
      <c r="J33" s="322">
        <f>'3b-RM Report Data'!BG20</f>
        <v>0</v>
      </c>
      <c r="K33" s="322">
        <f>'3b-RM Report Data'!BN20</f>
        <v>0</v>
      </c>
      <c r="L33" s="322">
        <f>'3b-RM Report Data'!BU20</f>
        <v>0</v>
      </c>
      <c r="M33" s="322">
        <f>'3b-RM Report Data'!CB20</f>
        <v>0</v>
      </c>
      <c r="N33" s="322">
        <f>'3b-RM Report Data'!CI20</f>
        <v>0</v>
      </c>
      <c r="O33" s="249">
        <f>C33+D33+E33</f>
        <v>716</v>
      </c>
      <c r="P33" s="249">
        <f>F33+G33+H33</f>
        <v>575</v>
      </c>
      <c r="Q33" s="249">
        <f>I33+J33+K33</f>
        <v>0</v>
      </c>
      <c r="R33" s="249">
        <f>L33+M33+N33</f>
        <v>0</v>
      </c>
      <c r="S33" s="332">
        <f t="shared" si="58"/>
        <v>1291</v>
      </c>
      <c r="T33" s="183"/>
      <c r="U33" s="165"/>
    </row>
    <row r="34" spans="1:21" s="175" customFormat="1" ht="16.5" customHeight="1" thickBot="1">
      <c r="A34" s="1092"/>
      <c r="B34" s="287" t="s">
        <v>45</v>
      </c>
      <c r="C34" s="316">
        <f>C32+C33</f>
        <v>380</v>
      </c>
      <c r="D34" s="316">
        <f t="shared" ref="D34:N34" si="59">D32+D33</f>
        <v>440</v>
      </c>
      <c r="E34" s="316">
        <f t="shared" si="59"/>
        <v>346</v>
      </c>
      <c r="F34" s="316">
        <f t="shared" si="59"/>
        <v>311</v>
      </c>
      <c r="G34" s="316">
        <f t="shared" si="59"/>
        <v>361</v>
      </c>
      <c r="H34" s="316">
        <f t="shared" si="59"/>
        <v>290</v>
      </c>
      <c r="I34" s="316">
        <f t="shared" si="59"/>
        <v>0</v>
      </c>
      <c r="J34" s="316">
        <f t="shared" si="59"/>
        <v>0</v>
      </c>
      <c r="K34" s="316">
        <f t="shared" si="59"/>
        <v>0</v>
      </c>
      <c r="L34" s="316">
        <f t="shared" si="59"/>
        <v>0</v>
      </c>
      <c r="M34" s="316">
        <f t="shared" si="59"/>
        <v>0</v>
      </c>
      <c r="N34" s="316">
        <f t="shared" si="59"/>
        <v>0</v>
      </c>
      <c r="O34" s="316">
        <f>O32+O33</f>
        <v>1166</v>
      </c>
      <c r="P34" s="316">
        <f t="shared" ref="P34" si="60">P32+P33</f>
        <v>962</v>
      </c>
      <c r="Q34" s="316">
        <f t="shared" ref="Q34" si="61">Q32+Q33</f>
        <v>0</v>
      </c>
      <c r="R34" s="316">
        <f t="shared" ref="R34" si="62">R32+R33</f>
        <v>0</v>
      </c>
      <c r="S34" s="316">
        <f>SUM(C34:N34)</f>
        <v>2128</v>
      </c>
      <c r="T34" s="179">
        <f>IFERROR(S34/$S$30,0)</f>
        <v>81.84615384615384</v>
      </c>
      <c r="U34" s="143"/>
    </row>
    <row r="35" spans="1:21" s="175" customFormat="1" ht="16.5" customHeight="1">
      <c r="A35" s="1090" t="s">
        <v>245</v>
      </c>
      <c r="B35" s="184" t="s">
        <v>190</v>
      </c>
      <c r="C35" s="323">
        <f>'OpStatTotals(AllServices)'!C36-'OpStatsTotals(MBTrailblazers)'!C71-'OpStatsTotals(DR)'!C36</f>
        <v>2095</v>
      </c>
      <c r="D35" s="323">
        <f>'OpStatTotals(AllServices)'!D36-'OpStatsTotals(MBTrailblazers)'!D71-'OpStatsTotals(DR)'!D36</f>
        <v>3034</v>
      </c>
      <c r="E35" s="323">
        <f>'OpStatTotals(AllServices)'!E36-'OpStatsTotals(MBTrailblazers)'!E71-'OpStatsTotals(DR)'!E36</f>
        <v>2031</v>
      </c>
      <c r="F35" s="323">
        <f>'OpStatTotals(AllServices)'!F36-'OpStatsTotals(MBTrailblazers)'!F71-'OpStatsTotals(DR)'!F36</f>
        <v>2014</v>
      </c>
      <c r="G35" s="323">
        <f>'OpStatTotals(AllServices)'!G36-'OpStatsTotals(MBTrailblazers)'!G71-'OpStatsTotals(DR)'!G36</f>
        <v>2389</v>
      </c>
      <c r="H35" s="323">
        <f>'OpStatTotals(AllServices)'!H36-'OpStatsTotals(MBTrailblazers)'!H71-'OpStatsTotals(DR)'!H36</f>
        <v>1600</v>
      </c>
      <c r="I35" s="323">
        <f>'OpStatTotals(AllServices)'!I36-'OpStatsTotals(MBTrailblazers)'!I71-'OpStatsTotals(DR)'!I36</f>
        <v>0</v>
      </c>
      <c r="J35" s="323">
        <f>'OpStatTotals(AllServices)'!J36-'OpStatsTotals(MBTrailblazers)'!J71-'OpStatsTotals(DR)'!J36</f>
        <v>0</v>
      </c>
      <c r="K35" s="323">
        <f>'OpStatTotals(AllServices)'!K36-'OpStatsTotals(MBTrailblazers)'!K71-'OpStatsTotals(DR)'!K36</f>
        <v>0</v>
      </c>
      <c r="L35" s="323">
        <f>'OpStatTotals(AllServices)'!L36-'OpStatsTotals(MBTrailblazers)'!L71-'OpStatsTotals(DR)'!L36</f>
        <v>0</v>
      </c>
      <c r="M35" s="323">
        <f>'OpStatTotals(AllServices)'!M36-'OpStatsTotals(MBTrailblazers)'!M71-'OpStatsTotals(DR)'!M36</f>
        <v>0</v>
      </c>
      <c r="N35" s="323">
        <f>'OpStatTotals(AllServices)'!N36-'OpStatsTotals(MBTrailblazers)'!N71-'OpStatsTotals(DR)'!N36</f>
        <v>0</v>
      </c>
      <c r="O35" s="249">
        <f>C35+D35+E35</f>
        <v>7160</v>
      </c>
      <c r="P35" s="249">
        <f>F35+G35+H35</f>
        <v>6003</v>
      </c>
      <c r="Q35" s="249">
        <f>I35+J35+K35</f>
        <v>0</v>
      </c>
      <c r="R35" s="249">
        <f>L35+M35+N35</f>
        <v>0</v>
      </c>
      <c r="S35" s="333">
        <f t="shared" ref="S35:S36" si="63">SUM(C35:N35)</f>
        <v>13163</v>
      </c>
      <c r="T35" s="182"/>
    </row>
    <row r="36" spans="1:21" s="175" customFormat="1" ht="16.5" customHeight="1">
      <c r="A36" s="1091"/>
      <c r="B36" s="177" t="s">
        <v>148</v>
      </c>
      <c r="C36" s="322">
        <f>'3b-RM Report Data'!J17</f>
        <v>3447</v>
      </c>
      <c r="D36" s="322">
        <f>'3b-RM Report Data'!Q17</f>
        <v>4453</v>
      </c>
      <c r="E36" s="322">
        <f>'3b-RM Report Data'!X17</f>
        <v>3487</v>
      </c>
      <c r="F36" s="322">
        <f>'3b-RM Report Data'!AE17</f>
        <v>3153</v>
      </c>
      <c r="G36" s="322">
        <f>'3b-RM Report Data'!AL17</f>
        <v>3616</v>
      </c>
      <c r="H36" s="322">
        <f>'3b-RM Report Data'!AS17</f>
        <v>2798</v>
      </c>
      <c r="I36" s="322">
        <f>'3b-RM Report Data'!AZ17</f>
        <v>0</v>
      </c>
      <c r="J36" s="322">
        <f>'3b-RM Report Data'!BG17</f>
        <v>0</v>
      </c>
      <c r="K36" s="322">
        <f>'3b-RM Report Data'!BN17</f>
        <v>0</v>
      </c>
      <c r="L36" s="322">
        <f>'3b-RM Report Data'!BU17</f>
        <v>0</v>
      </c>
      <c r="M36" s="322">
        <f>'3b-RM Report Data'!CB17</f>
        <v>0</v>
      </c>
      <c r="N36" s="322">
        <f>'3b-RM Report Data'!CI17</f>
        <v>0</v>
      </c>
      <c r="O36" s="249">
        <f>C36+D36+E36</f>
        <v>11387</v>
      </c>
      <c r="P36" s="249">
        <f>F36+G36+H36</f>
        <v>9567</v>
      </c>
      <c r="Q36" s="249">
        <f>I36+J36+K36</f>
        <v>0</v>
      </c>
      <c r="R36" s="249">
        <f>L36+M36+N36</f>
        <v>0</v>
      </c>
      <c r="S36" s="332">
        <f t="shared" si="63"/>
        <v>20954</v>
      </c>
      <c r="T36" s="183"/>
    </row>
    <row r="37" spans="1:21" s="175" customFormat="1" ht="16.5" customHeight="1" thickBot="1">
      <c r="A37" s="1092"/>
      <c r="B37" s="287" t="s">
        <v>46</v>
      </c>
      <c r="C37" s="316">
        <f>C35+C36</f>
        <v>5542</v>
      </c>
      <c r="D37" s="316">
        <f t="shared" ref="D37:N37" si="64">D35+D36</f>
        <v>7487</v>
      </c>
      <c r="E37" s="316">
        <f t="shared" si="64"/>
        <v>5518</v>
      </c>
      <c r="F37" s="316">
        <f t="shared" si="64"/>
        <v>5167</v>
      </c>
      <c r="G37" s="316">
        <f t="shared" si="64"/>
        <v>6005</v>
      </c>
      <c r="H37" s="316">
        <f t="shared" si="64"/>
        <v>4398</v>
      </c>
      <c r="I37" s="316">
        <f t="shared" si="64"/>
        <v>0</v>
      </c>
      <c r="J37" s="316">
        <f t="shared" si="64"/>
        <v>0</v>
      </c>
      <c r="K37" s="316">
        <f t="shared" si="64"/>
        <v>0</v>
      </c>
      <c r="L37" s="316">
        <f t="shared" si="64"/>
        <v>0</v>
      </c>
      <c r="M37" s="316">
        <f t="shared" si="64"/>
        <v>0</v>
      </c>
      <c r="N37" s="316">
        <f t="shared" si="64"/>
        <v>0</v>
      </c>
      <c r="O37" s="316">
        <f>O35+O36</f>
        <v>18547</v>
      </c>
      <c r="P37" s="316">
        <f t="shared" ref="P37" si="65">P35+P36</f>
        <v>15570</v>
      </c>
      <c r="Q37" s="316">
        <f t="shared" ref="Q37" si="66">Q35+Q36</f>
        <v>0</v>
      </c>
      <c r="R37" s="316">
        <f t="shared" ref="R37" si="67">R35+R36</f>
        <v>0</v>
      </c>
      <c r="S37" s="316">
        <f>SUM(C37:N37)</f>
        <v>34117</v>
      </c>
      <c r="T37" s="179">
        <f>IFERROR(S37/$S$30,0)</f>
        <v>1312.1923076923076</v>
      </c>
      <c r="U37" s="143"/>
    </row>
    <row r="38" spans="1:21" s="175" customFormat="1" ht="16.5" customHeight="1">
      <c r="A38" s="1090" t="s">
        <v>249</v>
      </c>
      <c r="B38" s="184" t="s">
        <v>190</v>
      </c>
      <c r="C38" s="323">
        <f>'OpStatTotals(AllServices)'!C37-'OpStatsTotals(MBTrailblazers)'!C75-'OpStatsTotals(DR)'!C39</f>
        <v>92</v>
      </c>
      <c r="D38" s="323">
        <f>'OpStatTotals(AllServices)'!D37-'OpStatsTotals(MBTrailblazers)'!D75-'OpStatsTotals(DR)'!D39</f>
        <v>116</v>
      </c>
      <c r="E38" s="323">
        <f>'OpStatTotals(AllServices)'!E37-'OpStatsTotals(MBTrailblazers)'!E75-'OpStatsTotals(DR)'!E39</f>
        <v>95</v>
      </c>
      <c r="F38" s="323">
        <f>'OpStatTotals(AllServices)'!F37-'OpStatsTotals(MBTrailblazers)'!F75-'OpStatsTotals(DR)'!F39</f>
        <v>85</v>
      </c>
      <c r="G38" s="323">
        <f>'OpStatTotals(AllServices)'!G37-'OpStatsTotals(MBTrailblazers)'!G75-'OpStatsTotals(DR)'!G39</f>
        <v>104</v>
      </c>
      <c r="H38" s="323">
        <f>'OpStatTotals(AllServices)'!H37-'OpStatsTotals(MBTrailblazers)'!H75-'OpStatsTotals(DR)'!H39</f>
        <v>73</v>
      </c>
      <c r="I38" s="323">
        <f>'OpStatTotals(AllServices)'!I37-'OpStatsTotals(MBTrailblazers)'!I75-'OpStatsTotals(DR)'!I39</f>
        <v>0</v>
      </c>
      <c r="J38" s="323">
        <f>'OpStatTotals(AllServices)'!J37-'OpStatsTotals(MBTrailblazers)'!J75-'OpStatsTotals(DR)'!J39</f>
        <v>0</v>
      </c>
      <c r="K38" s="323">
        <f>'OpStatTotals(AllServices)'!K37-'OpStatsTotals(MBTrailblazers)'!K75-'OpStatsTotals(DR)'!K39</f>
        <v>0</v>
      </c>
      <c r="L38" s="323">
        <f>'OpStatTotals(AllServices)'!L37-'OpStatsTotals(MBTrailblazers)'!L75-'OpStatsTotals(DR)'!L39</f>
        <v>0</v>
      </c>
      <c r="M38" s="323">
        <f>'OpStatTotals(AllServices)'!M37-'OpStatsTotals(MBTrailblazers)'!M75-'OpStatsTotals(DR)'!M39</f>
        <v>0</v>
      </c>
      <c r="N38" s="323">
        <f>'OpStatTotals(AllServices)'!N37-'OpStatsTotals(MBTrailblazers)'!N75-'OpStatsTotals(DR)'!N39</f>
        <v>0</v>
      </c>
      <c r="O38" s="249">
        <f>C38+D38+E38</f>
        <v>303</v>
      </c>
      <c r="P38" s="249">
        <f>F38+G38+H38</f>
        <v>262</v>
      </c>
      <c r="Q38" s="249">
        <f>I38+J38+K38</f>
        <v>0</v>
      </c>
      <c r="R38" s="249">
        <f>L38+M38+N38</f>
        <v>0</v>
      </c>
      <c r="S38" s="333">
        <f t="shared" ref="S38:S51" si="68">SUM(C38:N38)</f>
        <v>565</v>
      </c>
      <c r="T38" s="187"/>
    </row>
    <row r="39" spans="1:21" s="175" customFormat="1" ht="16.5" customHeight="1">
      <c r="A39" s="1091"/>
      <c r="B39" s="177" t="s">
        <v>148</v>
      </c>
      <c r="C39" s="322">
        <f>'3b-RM Report Data'!J21</f>
        <v>146</v>
      </c>
      <c r="D39" s="322">
        <f>'3b-RM Report Data'!Q21</f>
        <v>172</v>
      </c>
      <c r="E39" s="322">
        <f>'3b-RM Report Data'!X21</f>
        <v>156</v>
      </c>
      <c r="F39" s="322">
        <f>'3b-RM Report Data'!AE21</f>
        <v>131</v>
      </c>
      <c r="G39" s="322">
        <f>'3b-RM Report Data'!AL21</f>
        <v>153</v>
      </c>
      <c r="H39" s="322">
        <f>'3b-RM Report Data'!AS21</f>
        <v>123</v>
      </c>
      <c r="I39" s="322">
        <f>'3b-RM Report Data'!AZ21</f>
        <v>0</v>
      </c>
      <c r="J39" s="322">
        <f>'3b-RM Report Data'!BG21</f>
        <v>0</v>
      </c>
      <c r="K39" s="322">
        <f>'3b-RM Report Data'!BN21</f>
        <v>0</v>
      </c>
      <c r="L39" s="322">
        <f>'3b-RM Report Data'!BU21</f>
        <v>0</v>
      </c>
      <c r="M39" s="322">
        <f>'3b-RM Report Data'!CB21</f>
        <v>0</v>
      </c>
      <c r="N39" s="322">
        <f>'3b-RM Report Data'!CI21</f>
        <v>0</v>
      </c>
      <c r="O39" s="249">
        <f>C39+D39+E39</f>
        <v>474</v>
      </c>
      <c r="P39" s="249">
        <f>F39+G39+H39</f>
        <v>407</v>
      </c>
      <c r="Q39" s="249">
        <f>I39+J39+K39</f>
        <v>0</v>
      </c>
      <c r="R39" s="249">
        <f>L39+M39+N39</f>
        <v>0</v>
      </c>
      <c r="S39" s="332">
        <f t="shared" si="68"/>
        <v>881</v>
      </c>
      <c r="T39" s="183"/>
    </row>
    <row r="40" spans="1:21" s="175" customFormat="1" ht="16.5" customHeight="1" thickBot="1">
      <c r="A40" s="1092"/>
      <c r="B40" s="287" t="s">
        <v>109</v>
      </c>
      <c r="C40" s="316">
        <f>C38+C39</f>
        <v>238</v>
      </c>
      <c r="D40" s="316">
        <f t="shared" ref="D40:N40" si="69">D38+D39</f>
        <v>288</v>
      </c>
      <c r="E40" s="316">
        <f t="shared" si="69"/>
        <v>251</v>
      </c>
      <c r="F40" s="316">
        <f t="shared" si="69"/>
        <v>216</v>
      </c>
      <c r="G40" s="316">
        <f t="shared" si="69"/>
        <v>257</v>
      </c>
      <c r="H40" s="316">
        <f t="shared" si="69"/>
        <v>196</v>
      </c>
      <c r="I40" s="316">
        <f t="shared" si="69"/>
        <v>0</v>
      </c>
      <c r="J40" s="316">
        <f t="shared" si="69"/>
        <v>0</v>
      </c>
      <c r="K40" s="316">
        <f t="shared" si="69"/>
        <v>0</v>
      </c>
      <c r="L40" s="316">
        <f t="shared" si="69"/>
        <v>0</v>
      </c>
      <c r="M40" s="316">
        <f t="shared" si="69"/>
        <v>0</v>
      </c>
      <c r="N40" s="316">
        <f t="shared" si="69"/>
        <v>0</v>
      </c>
      <c r="O40" s="316">
        <f>O38+O39</f>
        <v>777</v>
      </c>
      <c r="P40" s="316">
        <f t="shared" ref="P40" si="70">P38+P39</f>
        <v>669</v>
      </c>
      <c r="Q40" s="316">
        <f t="shared" ref="Q40" si="71">Q38+Q39</f>
        <v>0</v>
      </c>
      <c r="R40" s="316">
        <f t="shared" ref="R40" si="72">R38+R39</f>
        <v>0</v>
      </c>
      <c r="S40" s="316">
        <f t="shared" si="68"/>
        <v>1446</v>
      </c>
      <c r="T40" s="179">
        <f>IFERROR(S40/$S$30,0)</f>
        <v>55.615384615384613</v>
      </c>
    </row>
    <row r="41" spans="1:21" s="175" customFormat="1" ht="16.5" customHeight="1">
      <c r="A41" s="1090" t="s">
        <v>246</v>
      </c>
      <c r="B41" s="178" t="s">
        <v>190</v>
      </c>
      <c r="C41" s="322">
        <f>'OpStatTotals(AllServices)'!C38-'OpStatsTotals(MBTrailblazers)'!C79-'OpStatsTotals(DR)'!C42</f>
        <v>1627</v>
      </c>
      <c r="D41" s="322">
        <f>'OpStatTotals(AllServices)'!D38-'OpStatsTotals(MBTrailblazers)'!D79-'OpStatsTotals(DR)'!D42</f>
        <v>2229</v>
      </c>
      <c r="E41" s="322">
        <f>'OpStatTotals(AllServices)'!E38-'OpStatsTotals(MBTrailblazers)'!E79-'OpStatsTotals(DR)'!E42</f>
        <v>1576</v>
      </c>
      <c r="F41" s="322">
        <f>'OpStatTotals(AllServices)'!F38-'OpStatsTotals(MBTrailblazers)'!F79-'OpStatsTotals(DR)'!F42</f>
        <v>1492</v>
      </c>
      <c r="G41" s="322">
        <f>'OpStatTotals(AllServices)'!G38-'OpStatsTotals(MBTrailblazers)'!G79-'OpStatsTotals(DR)'!G42</f>
        <v>1827</v>
      </c>
      <c r="H41" s="322">
        <f>'OpStatTotals(AllServices)'!H38-'OpStatsTotals(MBTrailblazers)'!H79-'OpStatsTotals(DR)'!H42</f>
        <v>1113</v>
      </c>
      <c r="I41" s="322">
        <f>'OpStatTotals(AllServices)'!I38-'OpStatsTotals(MBTrailblazers)'!I79-'OpStatsTotals(DR)'!I42</f>
        <v>0</v>
      </c>
      <c r="J41" s="322">
        <f>'OpStatTotals(AllServices)'!J38-'OpStatsTotals(MBTrailblazers)'!J79-'OpStatsTotals(DR)'!J42</f>
        <v>0</v>
      </c>
      <c r="K41" s="322">
        <f>'OpStatTotals(AllServices)'!K38-'OpStatsTotals(MBTrailblazers)'!K79-'OpStatsTotals(DR)'!K42</f>
        <v>0</v>
      </c>
      <c r="L41" s="322">
        <f>'OpStatTotals(AllServices)'!L38-'OpStatsTotals(MBTrailblazers)'!L79-'OpStatsTotals(DR)'!L42</f>
        <v>0</v>
      </c>
      <c r="M41" s="322">
        <f>'OpStatTotals(AllServices)'!M38-'OpStatsTotals(MBTrailblazers)'!M79-'OpStatsTotals(DR)'!M42</f>
        <v>0</v>
      </c>
      <c r="N41" s="322">
        <f>'OpStatTotals(AllServices)'!N38-'OpStatsTotals(MBTrailblazers)'!N79-'OpStatsTotals(DR)'!N42</f>
        <v>0</v>
      </c>
      <c r="O41" s="249">
        <f>C41+D41+E41</f>
        <v>5432</v>
      </c>
      <c r="P41" s="249">
        <f>F41+G41+H41</f>
        <v>4432</v>
      </c>
      <c r="Q41" s="249">
        <f>I41+J41+K41</f>
        <v>0</v>
      </c>
      <c r="R41" s="249">
        <f>L41+M41+N41</f>
        <v>0</v>
      </c>
      <c r="S41" s="332">
        <f t="shared" si="68"/>
        <v>9864</v>
      </c>
      <c r="T41" s="182"/>
    </row>
    <row r="42" spans="1:21" s="175" customFormat="1" ht="16.5" customHeight="1">
      <c r="A42" s="1091"/>
      <c r="B42" s="177" t="s">
        <v>148</v>
      </c>
      <c r="C42" s="322">
        <f>'3b-RM Report Data'!J18</f>
        <v>2596</v>
      </c>
      <c r="D42" s="322">
        <f>'3b-RM Report Data'!Q18</f>
        <v>3289</v>
      </c>
      <c r="E42" s="322">
        <f>'3b-RM Report Data'!X18</f>
        <v>2700</v>
      </c>
      <c r="F42" s="322">
        <f>'3b-RM Report Data'!AE18</f>
        <v>2371</v>
      </c>
      <c r="G42" s="322">
        <f>'3b-RM Report Data'!AL18</f>
        <v>2756</v>
      </c>
      <c r="H42" s="322">
        <f>'3b-RM Report Data'!AS18</f>
        <v>2075</v>
      </c>
      <c r="I42" s="322">
        <f>'3b-RM Report Data'!AZ18</f>
        <v>0</v>
      </c>
      <c r="J42" s="322">
        <f>'3b-RM Report Data'!BG18</f>
        <v>0</v>
      </c>
      <c r="K42" s="322">
        <f>'3b-RM Report Data'!BN18</f>
        <v>0</v>
      </c>
      <c r="L42" s="322">
        <f>'3b-RM Report Data'!BU18</f>
        <v>0</v>
      </c>
      <c r="M42" s="322">
        <f>'3b-RM Report Data'!CB18</f>
        <v>0</v>
      </c>
      <c r="N42" s="322">
        <f>'3b-RM Report Data'!CI18</f>
        <v>0</v>
      </c>
      <c r="O42" s="249">
        <f>C42+D42+E42</f>
        <v>8585</v>
      </c>
      <c r="P42" s="249">
        <f>F42+G42+H42</f>
        <v>7202</v>
      </c>
      <c r="Q42" s="249">
        <f>I42+J42+K42</f>
        <v>0</v>
      </c>
      <c r="R42" s="249">
        <f>L42+M42+N42</f>
        <v>0</v>
      </c>
      <c r="S42" s="332">
        <f t="shared" si="68"/>
        <v>15787</v>
      </c>
      <c r="T42" s="183"/>
    </row>
    <row r="43" spans="1:21" s="175" customFormat="1" ht="16.5" customHeight="1" thickBot="1">
      <c r="A43" s="1092"/>
      <c r="B43" s="287" t="s">
        <v>47</v>
      </c>
      <c r="C43" s="316">
        <f>C41+C42</f>
        <v>4223</v>
      </c>
      <c r="D43" s="316">
        <f t="shared" ref="D43:N43" si="73">D41+D42</f>
        <v>5518</v>
      </c>
      <c r="E43" s="316">
        <f t="shared" si="73"/>
        <v>4276</v>
      </c>
      <c r="F43" s="316">
        <f t="shared" si="73"/>
        <v>3863</v>
      </c>
      <c r="G43" s="316">
        <f t="shared" si="73"/>
        <v>4583</v>
      </c>
      <c r="H43" s="316">
        <f t="shared" si="73"/>
        <v>3188</v>
      </c>
      <c r="I43" s="316">
        <f t="shared" si="73"/>
        <v>0</v>
      </c>
      <c r="J43" s="316">
        <f t="shared" si="73"/>
        <v>0</v>
      </c>
      <c r="K43" s="316">
        <f t="shared" si="73"/>
        <v>0</v>
      </c>
      <c r="L43" s="316">
        <f t="shared" si="73"/>
        <v>0</v>
      </c>
      <c r="M43" s="316">
        <f t="shared" si="73"/>
        <v>0</v>
      </c>
      <c r="N43" s="316">
        <f t="shared" si="73"/>
        <v>0</v>
      </c>
      <c r="O43" s="316">
        <f>O41+O42</f>
        <v>14017</v>
      </c>
      <c r="P43" s="316">
        <f t="shared" ref="P43" si="74">P41+P42</f>
        <v>11634</v>
      </c>
      <c r="Q43" s="316">
        <f t="shared" ref="Q43" si="75">Q41+Q42</f>
        <v>0</v>
      </c>
      <c r="R43" s="316">
        <f t="shared" ref="R43" si="76">R41+R42</f>
        <v>0</v>
      </c>
      <c r="S43" s="316">
        <f t="shared" si="68"/>
        <v>25651</v>
      </c>
      <c r="T43" s="179">
        <f>IFERROR(S43/$S$30,0)</f>
        <v>986.57692307692309</v>
      </c>
    </row>
    <row r="44" spans="1:21" s="175" customFormat="1" ht="16.5" customHeight="1">
      <c r="A44" s="1090" t="s">
        <v>251</v>
      </c>
      <c r="B44" s="184" t="s">
        <v>190</v>
      </c>
      <c r="C44" s="323">
        <f>'OpStatTotals(AllServices)'!C39-'OpStatsTotals(MBTrailblazers)'!C83-'OpStatsTotals(DR)'!C45</f>
        <v>1740</v>
      </c>
      <c r="D44" s="323">
        <f>'OpStatTotals(AllServices)'!D39-'OpStatsTotals(MBTrailblazers)'!D83-'OpStatsTotals(DR)'!D45</f>
        <v>2272</v>
      </c>
      <c r="E44" s="323">
        <f>'OpStatTotals(AllServices)'!E39-'OpStatsTotals(MBTrailblazers)'!E83-'OpStatsTotals(DR)'!E45</f>
        <v>1681</v>
      </c>
      <c r="F44" s="323">
        <f>'OpStatTotals(AllServices)'!F39-'OpStatsTotals(MBTrailblazers)'!F83-'OpStatsTotals(DR)'!F45</f>
        <v>1601</v>
      </c>
      <c r="G44" s="323">
        <f>'OpStatTotals(AllServices)'!G39-'OpStatsTotals(MBTrailblazers)'!G83-'OpStatsTotals(DR)'!G45</f>
        <v>1829</v>
      </c>
      <c r="H44" s="323">
        <f>'OpStatTotals(AllServices)'!H39-'OpStatsTotals(MBTrailblazers)'!H83-'OpStatsTotals(DR)'!H45</f>
        <v>1367</v>
      </c>
      <c r="I44" s="323">
        <f>'OpStatTotals(AllServices)'!I39-'OpStatsTotals(MBTrailblazers)'!I83-'OpStatsTotals(DR)'!I45</f>
        <v>0</v>
      </c>
      <c r="J44" s="323">
        <f>'OpStatTotals(AllServices)'!J39-'OpStatsTotals(MBTrailblazers)'!J83-'OpStatsTotals(DR)'!J45</f>
        <v>0</v>
      </c>
      <c r="K44" s="323">
        <f>'OpStatTotals(AllServices)'!K39-'OpStatsTotals(MBTrailblazers)'!K83-'OpStatsTotals(DR)'!K45</f>
        <v>0</v>
      </c>
      <c r="L44" s="323">
        <f>'OpStatTotals(AllServices)'!L39-'OpStatsTotals(MBTrailblazers)'!L83-'OpStatsTotals(DR)'!L45</f>
        <v>0</v>
      </c>
      <c r="M44" s="323">
        <f>'OpStatTotals(AllServices)'!M39-'OpStatsTotals(MBTrailblazers)'!M83-'OpStatsTotals(DR)'!M45</f>
        <v>0</v>
      </c>
      <c r="N44" s="323">
        <f>'OpStatTotals(AllServices)'!N39-'OpStatsTotals(MBTrailblazers)'!N83-'OpStatsTotals(DR)'!N45</f>
        <v>0</v>
      </c>
      <c r="O44" s="249">
        <f>C44+D44+E44</f>
        <v>5693</v>
      </c>
      <c r="P44" s="249">
        <f>F44+G44+H44</f>
        <v>4797</v>
      </c>
      <c r="Q44" s="249">
        <f>I44+J44+K44</f>
        <v>0</v>
      </c>
      <c r="R44" s="249">
        <f>L44+M44+N44</f>
        <v>0</v>
      </c>
      <c r="S44" s="333">
        <f t="shared" si="68"/>
        <v>10490</v>
      </c>
      <c r="T44" s="182"/>
    </row>
    <row r="45" spans="1:21" s="175" customFormat="1" ht="16.5" customHeight="1">
      <c r="A45" s="1091"/>
      <c r="B45" s="177" t="s">
        <v>148</v>
      </c>
      <c r="C45" s="322">
        <f>'3b-RM Report Data'!J19</f>
        <v>2681</v>
      </c>
      <c r="D45" s="322">
        <f>'3b-RM Report Data'!Q19</f>
        <v>3444</v>
      </c>
      <c r="E45" s="322">
        <f>'3b-RM Report Data'!X19</f>
        <v>2884</v>
      </c>
      <c r="F45" s="322">
        <f>'3b-RM Report Data'!AE19</f>
        <v>2254</v>
      </c>
      <c r="G45" s="322">
        <f>'3b-RM Report Data'!AL19</f>
        <v>2293</v>
      </c>
      <c r="H45" s="322">
        <f>'3b-RM Report Data'!AS19</f>
        <v>2047</v>
      </c>
      <c r="I45" s="322">
        <f>'3b-RM Report Data'!AZ19</f>
        <v>0</v>
      </c>
      <c r="J45" s="322">
        <f>'3b-RM Report Data'!BG19</f>
        <v>0</v>
      </c>
      <c r="K45" s="322">
        <f>'3b-RM Report Data'!BN19</f>
        <v>0</v>
      </c>
      <c r="L45" s="322">
        <f>'3b-RM Report Data'!BU19</f>
        <v>0</v>
      </c>
      <c r="M45" s="322">
        <f>'3b-RM Report Data'!CB19</f>
        <v>0</v>
      </c>
      <c r="N45" s="322">
        <f>'3b-RM Report Data'!CI19</f>
        <v>0</v>
      </c>
      <c r="O45" s="249">
        <f>C45+D45+E45</f>
        <v>9009</v>
      </c>
      <c r="P45" s="249">
        <f>F45+G45+H45</f>
        <v>6594</v>
      </c>
      <c r="Q45" s="249">
        <f>I45+J45+K45</f>
        <v>0</v>
      </c>
      <c r="R45" s="249">
        <f>L45+M45+N45</f>
        <v>0</v>
      </c>
      <c r="S45" s="332">
        <f t="shared" si="68"/>
        <v>15603</v>
      </c>
      <c r="T45" s="183"/>
    </row>
    <row r="46" spans="1:21" s="160" customFormat="1" ht="16.5" customHeight="1" thickBot="1">
      <c r="A46" s="1092"/>
      <c r="B46" s="287" t="s">
        <v>241</v>
      </c>
      <c r="C46" s="288">
        <f>C44+C45</f>
        <v>4421</v>
      </c>
      <c r="D46" s="288">
        <f t="shared" ref="D46:N46" si="77">D44+D45</f>
        <v>5716</v>
      </c>
      <c r="E46" s="288">
        <f t="shared" si="77"/>
        <v>4565</v>
      </c>
      <c r="F46" s="288">
        <f t="shared" si="77"/>
        <v>3855</v>
      </c>
      <c r="G46" s="288">
        <f t="shared" si="77"/>
        <v>4122</v>
      </c>
      <c r="H46" s="316">
        <f t="shared" si="77"/>
        <v>3414</v>
      </c>
      <c r="I46" s="288">
        <f t="shared" si="77"/>
        <v>0</v>
      </c>
      <c r="J46" s="288">
        <f t="shared" si="77"/>
        <v>0</v>
      </c>
      <c r="K46" s="288">
        <f t="shared" si="77"/>
        <v>0</v>
      </c>
      <c r="L46" s="288">
        <f t="shared" si="77"/>
        <v>0</v>
      </c>
      <c r="M46" s="288">
        <f t="shared" si="77"/>
        <v>0</v>
      </c>
      <c r="N46" s="288">
        <f t="shared" si="77"/>
        <v>0</v>
      </c>
      <c r="O46" s="316">
        <f>O44+O45</f>
        <v>14702</v>
      </c>
      <c r="P46" s="316">
        <f t="shared" ref="P46" si="78">P44+P45</f>
        <v>11391</v>
      </c>
      <c r="Q46" s="316">
        <f t="shared" ref="Q46" si="79">Q44+Q45</f>
        <v>0</v>
      </c>
      <c r="R46" s="316">
        <f t="shared" ref="R46" si="80">R44+R45</f>
        <v>0</v>
      </c>
      <c r="S46" s="288">
        <f t="shared" si="68"/>
        <v>26093</v>
      </c>
      <c r="T46" s="179">
        <f>IFERROR(S46/$S$30,0)</f>
        <v>1003.5769230769231</v>
      </c>
      <c r="U46" s="164"/>
    </row>
    <row r="47" spans="1:21" s="160" customFormat="1" ht="16.5" customHeight="1">
      <c r="A47" s="1091" t="s">
        <v>260</v>
      </c>
      <c r="B47" s="178" t="s">
        <v>265</v>
      </c>
      <c r="C47" s="322">
        <f>'3b-RM Report Data'!J82</f>
        <v>22</v>
      </c>
      <c r="D47" s="322">
        <f>'3b-RM Report Data'!Q82</f>
        <v>28</v>
      </c>
      <c r="E47" s="322">
        <f>'3b-RM Report Data'!X82</f>
        <v>22</v>
      </c>
      <c r="F47" s="322">
        <f>'3b-RM Report Data'!AE82</f>
        <v>26</v>
      </c>
      <c r="G47" s="322">
        <f>'3b-RM Report Data'!AL82</f>
        <v>30</v>
      </c>
      <c r="H47" s="322">
        <f>'3b-RM Report Data'!AS82</f>
        <v>17</v>
      </c>
      <c r="I47" s="322">
        <f>'3b-RM Report Data'!AZ82</f>
        <v>0</v>
      </c>
      <c r="J47" s="322">
        <f>'3b-RM Report Data'!BG82</f>
        <v>0</v>
      </c>
      <c r="K47" s="322">
        <f>'3b-RM Report Data'!BN82</f>
        <v>0</v>
      </c>
      <c r="L47" s="322">
        <f>'3b-RM Report Data'!BU82</f>
        <v>0</v>
      </c>
      <c r="M47" s="322">
        <f>'3b-RM Report Data'!CB82</f>
        <v>0</v>
      </c>
      <c r="N47" s="322">
        <f>'3b-RM Report Data'!CI82</f>
        <v>0</v>
      </c>
      <c r="O47" s="249">
        <f t="shared" ref="O47:O51" si="81">C47+D47+E47</f>
        <v>72</v>
      </c>
      <c r="P47" s="249">
        <f t="shared" ref="P47:P51" si="82">F47+G47+H47</f>
        <v>73</v>
      </c>
      <c r="Q47" s="249">
        <f t="shared" ref="Q47:Q51" si="83">I47+J47+K47</f>
        <v>0</v>
      </c>
      <c r="R47" s="249">
        <f t="shared" ref="R47:R51" si="84">L47+M47+N47</f>
        <v>0</v>
      </c>
      <c r="S47" s="181">
        <f t="shared" si="68"/>
        <v>145</v>
      </c>
      <c r="T47" s="182"/>
      <c r="U47" s="165"/>
    </row>
    <row r="48" spans="1:21" s="160" customFormat="1" ht="16.5" customHeight="1">
      <c r="A48" s="1091"/>
      <c r="B48" s="177" t="s">
        <v>148</v>
      </c>
      <c r="C48" s="322">
        <f>'3b-RM Report Data'!J83</f>
        <v>306</v>
      </c>
      <c r="D48" s="322">
        <f>'3b-RM Report Data'!Q83</f>
        <v>392</v>
      </c>
      <c r="E48" s="322">
        <f>'3b-RM Report Data'!X83</f>
        <v>345</v>
      </c>
      <c r="F48" s="322">
        <f>'3b-RM Report Data'!AE83</f>
        <v>276</v>
      </c>
      <c r="G48" s="322">
        <f>'3b-RM Report Data'!AL83</f>
        <v>307</v>
      </c>
      <c r="H48" s="322">
        <f>'3b-RM Report Data'!AS83</f>
        <v>289</v>
      </c>
      <c r="I48" s="322">
        <f>'3b-RM Report Data'!AZ83</f>
        <v>0</v>
      </c>
      <c r="J48" s="322">
        <f>'3b-RM Report Data'!BG83</f>
        <v>0</v>
      </c>
      <c r="K48" s="322">
        <f>'3b-RM Report Data'!BN83</f>
        <v>0</v>
      </c>
      <c r="L48" s="322">
        <f>'3b-RM Report Data'!BU83</f>
        <v>0</v>
      </c>
      <c r="M48" s="322">
        <f>'3b-RM Report Data'!CB83</f>
        <v>0</v>
      </c>
      <c r="N48" s="322">
        <f>'3b-RM Report Data'!CI83</f>
        <v>0</v>
      </c>
      <c r="O48" s="249">
        <f t="shared" si="81"/>
        <v>1043</v>
      </c>
      <c r="P48" s="249">
        <f t="shared" si="82"/>
        <v>872</v>
      </c>
      <c r="Q48" s="249">
        <f t="shared" si="83"/>
        <v>0</v>
      </c>
      <c r="R48" s="249">
        <f t="shared" si="84"/>
        <v>0</v>
      </c>
      <c r="S48" s="181">
        <f t="shared" si="68"/>
        <v>1915</v>
      </c>
      <c r="T48" s="183"/>
      <c r="U48" s="165"/>
    </row>
    <row r="49" spans="1:41" s="160" customFormat="1" ht="16.5" customHeight="1">
      <c r="A49" s="1091"/>
      <c r="B49" s="289" t="s">
        <v>270</v>
      </c>
      <c r="C49" s="290">
        <f>C47+C48</f>
        <v>328</v>
      </c>
      <c r="D49" s="290">
        <f t="shared" ref="D49:N49" si="85">D47+D48</f>
        <v>420</v>
      </c>
      <c r="E49" s="290">
        <f t="shared" si="85"/>
        <v>367</v>
      </c>
      <c r="F49" s="290">
        <f t="shared" si="85"/>
        <v>302</v>
      </c>
      <c r="G49" s="290">
        <f t="shared" si="85"/>
        <v>337</v>
      </c>
      <c r="H49" s="290">
        <f t="shared" si="85"/>
        <v>306</v>
      </c>
      <c r="I49" s="290">
        <f t="shared" si="85"/>
        <v>0</v>
      </c>
      <c r="J49" s="290">
        <f t="shared" si="85"/>
        <v>0</v>
      </c>
      <c r="K49" s="290">
        <f t="shared" si="85"/>
        <v>0</v>
      </c>
      <c r="L49" s="290">
        <f t="shared" si="85"/>
        <v>0</v>
      </c>
      <c r="M49" s="290">
        <f t="shared" si="85"/>
        <v>0</v>
      </c>
      <c r="N49" s="290">
        <f t="shared" si="85"/>
        <v>0</v>
      </c>
      <c r="O49" s="324">
        <f t="shared" si="81"/>
        <v>1115</v>
      </c>
      <c r="P49" s="324">
        <f t="shared" si="82"/>
        <v>945</v>
      </c>
      <c r="Q49" s="324">
        <f t="shared" si="83"/>
        <v>0</v>
      </c>
      <c r="R49" s="324">
        <f t="shared" si="84"/>
        <v>0</v>
      </c>
      <c r="S49" s="339">
        <f t="shared" si="68"/>
        <v>2060</v>
      </c>
      <c r="T49" s="145"/>
      <c r="U49" s="165"/>
    </row>
    <row r="50" spans="1:41" s="160" customFormat="1" ht="16.5" customHeight="1">
      <c r="A50" s="1091"/>
      <c r="B50" s="289" t="s">
        <v>264</v>
      </c>
      <c r="C50" s="340">
        <f>'3b-RM Report Data'!J84</f>
        <v>23</v>
      </c>
      <c r="D50" s="340">
        <f>'3b-RM Report Data'!Q84</f>
        <v>44</v>
      </c>
      <c r="E50" s="340">
        <f>'3b-RM Report Data'!X84</f>
        <v>32</v>
      </c>
      <c r="F50" s="340">
        <f>'3b-RM Report Data'!AE84</f>
        <v>31</v>
      </c>
      <c r="G50" s="340">
        <f>'3b-RM Report Data'!AL84</f>
        <v>40</v>
      </c>
      <c r="H50" s="340">
        <f>'3b-RM Report Data'!AS84</f>
        <v>30</v>
      </c>
      <c r="I50" s="340">
        <f>'3b-RM Report Data'!AZ84</f>
        <v>0</v>
      </c>
      <c r="J50" s="340">
        <f>'3b-RM Report Data'!BG84</f>
        <v>0</v>
      </c>
      <c r="K50" s="340">
        <f>'3b-RM Report Data'!BN84</f>
        <v>0</v>
      </c>
      <c r="L50" s="340">
        <f>'3b-RM Report Data'!BU84</f>
        <v>0</v>
      </c>
      <c r="M50" s="340">
        <f>'3b-RM Report Data'!CB84</f>
        <v>0</v>
      </c>
      <c r="N50" s="340">
        <f>'3b-RM Report Data'!CI84</f>
        <v>0</v>
      </c>
      <c r="O50" s="324">
        <f t="shared" si="81"/>
        <v>99</v>
      </c>
      <c r="P50" s="324">
        <f t="shared" si="82"/>
        <v>101</v>
      </c>
      <c r="Q50" s="324">
        <f t="shared" si="83"/>
        <v>0</v>
      </c>
      <c r="R50" s="324">
        <f t="shared" si="84"/>
        <v>0</v>
      </c>
      <c r="S50" s="339">
        <f t="shared" si="68"/>
        <v>200</v>
      </c>
      <c r="T50" s="145"/>
      <c r="U50" s="165"/>
    </row>
    <row r="51" spans="1:41" s="160" customFormat="1" ht="16.5" customHeight="1">
      <c r="A51" s="1091"/>
      <c r="B51" s="289" t="s">
        <v>266</v>
      </c>
      <c r="C51" s="290">
        <f>'OpStatTotals(AllServices)'!C40-'OpStatsTotals(MBTrailblazers)'!C87-'OpStatsTotals(DR)'!C49-'OpStatsTotals(DR)'!C50</f>
        <v>186</v>
      </c>
      <c r="D51" s="290">
        <f>'OpStatTotals(AllServices)'!D40-'OpStatsTotals(MBTrailblazers)'!D87-'OpStatsTotals(DR)'!D49-'OpStatsTotals(DR)'!D50</f>
        <v>225</v>
      </c>
      <c r="E51" s="290">
        <f>'OpStatTotals(AllServices)'!E40-'OpStatsTotals(MBTrailblazers)'!E87-'OpStatsTotals(DR)'!E49-'OpStatsTotals(DR)'!E50</f>
        <v>189</v>
      </c>
      <c r="F51" s="290">
        <f>'OpStatTotals(AllServices)'!F40-'OpStatsTotals(MBTrailblazers)'!F87-'OpStatsTotals(DR)'!F49-'OpStatsTotals(DR)'!F50</f>
        <v>169</v>
      </c>
      <c r="G51" s="290">
        <f>'OpStatTotals(AllServices)'!G40-'OpStatsTotals(MBTrailblazers)'!G87-'OpStatsTotals(DR)'!G49-'OpStatsTotals(DR)'!G50</f>
        <v>186</v>
      </c>
      <c r="H51" s="290">
        <f>'OpStatTotals(AllServices)'!H40-'OpStatsTotals(MBTrailblazers)'!H87-'OpStatsTotals(DR)'!H49-'OpStatsTotals(DR)'!H50</f>
        <v>160</v>
      </c>
      <c r="I51" s="290">
        <f>'OpStatTotals(AllServices)'!I40-'OpStatsTotals(MBTrailblazers)'!I87-'OpStatsTotals(DR)'!I49-'OpStatsTotals(DR)'!I50</f>
        <v>0</v>
      </c>
      <c r="J51" s="290">
        <f>'OpStatTotals(AllServices)'!J40-'OpStatsTotals(MBTrailblazers)'!J87-'OpStatsTotals(DR)'!J49-'OpStatsTotals(DR)'!J50</f>
        <v>0</v>
      </c>
      <c r="K51" s="290">
        <f>'OpStatTotals(AllServices)'!K40-'OpStatsTotals(MBTrailblazers)'!K87-'OpStatsTotals(DR)'!K49-'OpStatsTotals(DR)'!K50</f>
        <v>0</v>
      </c>
      <c r="L51" s="290">
        <f>'OpStatTotals(AllServices)'!L40-'OpStatsTotals(MBTrailblazers)'!L87-'OpStatsTotals(DR)'!L49-'OpStatsTotals(DR)'!L50</f>
        <v>0</v>
      </c>
      <c r="M51" s="290">
        <f>'OpStatTotals(AllServices)'!M40-'OpStatsTotals(MBTrailblazers)'!M87-'OpStatsTotals(DR)'!M49-'OpStatsTotals(DR)'!M50</f>
        <v>0</v>
      </c>
      <c r="N51" s="290">
        <f>'OpStatTotals(AllServices)'!N40-'OpStatsTotals(MBTrailblazers)'!N87-'OpStatsTotals(DR)'!N49-'OpStatsTotals(DR)'!N50</f>
        <v>0</v>
      </c>
      <c r="O51" s="324">
        <f t="shared" si="81"/>
        <v>600</v>
      </c>
      <c r="P51" s="324">
        <f t="shared" si="82"/>
        <v>515</v>
      </c>
      <c r="Q51" s="324">
        <f t="shared" si="83"/>
        <v>0</v>
      </c>
      <c r="R51" s="324">
        <f t="shared" si="84"/>
        <v>0</v>
      </c>
      <c r="S51" s="339">
        <f t="shared" si="68"/>
        <v>1115</v>
      </c>
      <c r="T51" s="145"/>
      <c r="U51" s="165"/>
    </row>
    <row r="52" spans="1:41" s="175" customFormat="1" ht="16.5" customHeight="1" thickBot="1">
      <c r="A52" s="1092"/>
      <c r="B52" s="287" t="s">
        <v>269</v>
      </c>
      <c r="C52" s="288">
        <f>SUM(C49:C51)</f>
        <v>537</v>
      </c>
      <c r="D52" s="288">
        <f t="shared" ref="D52:S52" si="86">SUM(D49:D51)</f>
        <v>689</v>
      </c>
      <c r="E52" s="288">
        <f t="shared" si="86"/>
        <v>588</v>
      </c>
      <c r="F52" s="288">
        <f t="shared" si="86"/>
        <v>502</v>
      </c>
      <c r="G52" s="288">
        <f t="shared" si="86"/>
        <v>563</v>
      </c>
      <c r="H52" s="288">
        <f t="shared" si="86"/>
        <v>496</v>
      </c>
      <c r="I52" s="288">
        <f t="shared" si="86"/>
        <v>0</v>
      </c>
      <c r="J52" s="288">
        <f t="shared" si="86"/>
        <v>0</v>
      </c>
      <c r="K52" s="288">
        <f t="shared" si="86"/>
        <v>0</v>
      </c>
      <c r="L52" s="288">
        <f t="shared" si="86"/>
        <v>0</v>
      </c>
      <c r="M52" s="288">
        <f t="shared" si="86"/>
        <v>0</v>
      </c>
      <c r="N52" s="288">
        <f t="shared" si="86"/>
        <v>0</v>
      </c>
      <c r="O52" s="316">
        <f t="shared" si="86"/>
        <v>1814</v>
      </c>
      <c r="P52" s="316">
        <f t="shared" si="86"/>
        <v>1561</v>
      </c>
      <c r="Q52" s="316">
        <f t="shared" si="86"/>
        <v>0</v>
      </c>
      <c r="R52" s="316">
        <f t="shared" si="86"/>
        <v>0</v>
      </c>
      <c r="S52" s="316">
        <f t="shared" si="86"/>
        <v>3375</v>
      </c>
      <c r="T52" s="179">
        <f>IFERROR(S52/$S$30,0)</f>
        <v>129.80769230769232</v>
      </c>
      <c r="U52" s="143"/>
    </row>
    <row r="53" spans="1:41" s="850" customFormat="1" ht="16.95" customHeight="1">
      <c r="A53" s="1087" t="s">
        <v>268</v>
      </c>
      <c r="B53" s="312" t="s">
        <v>250</v>
      </c>
      <c r="C53" s="334">
        <f t="shared" ref="C53:N53" si="87">C34-C40</f>
        <v>142</v>
      </c>
      <c r="D53" s="334">
        <f t="shared" si="87"/>
        <v>152</v>
      </c>
      <c r="E53" s="334">
        <f t="shared" si="87"/>
        <v>95</v>
      </c>
      <c r="F53" s="334">
        <f t="shared" si="87"/>
        <v>95</v>
      </c>
      <c r="G53" s="334">
        <f t="shared" si="87"/>
        <v>104</v>
      </c>
      <c r="H53" s="334">
        <f t="shared" si="87"/>
        <v>94</v>
      </c>
      <c r="I53" s="334">
        <f t="shared" si="87"/>
        <v>0</v>
      </c>
      <c r="J53" s="334">
        <f t="shared" si="87"/>
        <v>0</v>
      </c>
      <c r="K53" s="334">
        <f t="shared" si="87"/>
        <v>0</v>
      </c>
      <c r="L53" s="334">
        <f t="shared" si="87"/>
        <v>0</v>
      </c>
      <c r="M53" s="334">
        <f t="shared" si="87"/>
        <v>0</v>
      </c>
      <c r="N53" s="334">
        <f t="shared" si="87"/>
        <v>0</v>
      </c>
      <c r="O53" s="313">
        <f>C53+D53+E53</f>
        <v>389</v>
      </c>
      <c r="P53" s="313">
        <f>F53+G53+H53</f>
        <v>293</v>
      </c>
      <c r="Q53" s="313">
        <f>I53+J53+K53</f>
        <v>0</v>
      </c>
      <c r="R53" s="313">
        <f>L53+M53+N53</f>
        <v>0</v>
      </c>
      <c r="S53" s="313">
        <f t="shared" ref="S53" si="88">SUM(C53:N53)</f>
        <v>682</v>
      </c>
      <c r="T53" s="338">
        <f>T34-T40</f>
        <v>26.230769230769226</v>
      </c>
      <c r="U53" s="161"/>
    </row>
    <row r="54" spans="1:41" s="850" customFormat="1" ht="16.95" customHeight="1">
      <c r="A54" s="1088"/>
      <c r="B54" s="312" t="s">
        <v>247</v>
      </c>
      <c r="C54" s="334">
        <f t="shared" ref="C54:T54" si="89">C37-C43</f>
        <v>1319</v>
      </c>
      <c r="D54" s="334">
        <f t="shared" si="89"/>
        <v>1969</v>
      </c>
      <c r="E54" s="334">
        <f t="shared" si="89"/>
        <v>1242</v>
      </c>
      <c r="F54" s="334">
        <f t="shared" si="89"/>
        <v>1304</v>
      </c>
      <c r="G54" s="334">
        <f t="shared" si="89"/>
        <v>1422</v>
      </c>
      <c r="H54" s="334">
        <f t="shared" si="89"/>
        <v>1210</v>
      </c>
      <c r="I54" s="334">
        <f t="shared" si="89"/>
        <v>0</v>
      </c>
      <c r="J54" s="334">
        <f t="shared" si="89"/>
        <v>0</v>
      </c>
      <c r="K54" s="334">
        <f t="shared" si="89"/>
        <v>0</v>
      </c>
      <c r="L54" s="334">
        <f t="shared" si="89"/>
        <v>0</v>
      </c>
      <c r="M54" s="334">
        <f t="shared" si="89"/>
        <v>0</v>
      </c>
      <c r="N54" s="334">
        <f t="shared" si="89"/>
        <v>0</v>
      </c>
      <c r="O54" s="313">
        <f t="shared" si="89"/>
        <v>4530</v>
      </c>
      <c r="P54" s="313">
        <f t="shared" si="89"/>
        <v>3936</v>
      </c>
      <c r="Q54" s="313">
        <f t="shared" si="89"/>
        <v>0</v>
      </c>
      <c r="R54" s="313">
        <f t="shared" si="89"/>
        <v>0</v>
      </c>
      <c r="S54" s="313">
        <f t="shared" si="89"/>
        <v>8466</v>
      </c>
      <c r="T54" s="338">
        <f t="shared" si="89"/>
        <v>325.61538461538453</v>
      </c>
      <c r="U54" s="161"/>
    </row>
    <row r="55" spans="1:41" s="850" customFormat="1" ht="16.95" customHeight="1">
      <c r="A55" s="1089"/>
      <c r="B55" s="312" t="s">
        <v>261</v>
      </c>
      <c r="C55" s="335">
        <f t="shared" ref="C55:S55" si="90">IFERROR(C54/C53,0)</f>
        <v>9.2887323943661979</v>
      </c>
      <c r="D55" s="335">
        <f t="shared" si="90"/>
        <v>12.953947368421053</v>
      </c>
      <c r="E55" s="335">
        <f t="shared" si="90"/>
        <v>13.073684210526316</v>
      </c>
      <c r="F55" s="335">
        <f t="shared" si="90"/>
        <v>13.726315789473684</v>
      </c>
      <c r="G55" s="335">
        <f t="shared" si="90"/>
        <v>13.673076923076923</v>
      </c>
      <c r="H55" s="335">
        <f t="shared" si="90"/>
        <v>12.872340425531915</v>
      </c>
      <c r="I55" s="335">
        <f t="shared" si="90"/>
        <v>0</v>
      </c>
      <c r="J55" s="335">
        <f t="shared" si="90"/>
        <v>0</v>
      </c>
      <c r="K55" s="335">
        <f t="shared" si="90"/>
        <v>0</v>
      </c>
      <c r="L55" s="335">
        <f t="shared" si="90"/>
        <v>0</v>
      </c>
      <c r="M55" s="335">
        <f t="shared" si="90"/>
        <v>0</v>
      </c>
      <c r="N55" s="335">
        <f t="shared" si="90"/>
        <v>0</v>
      </c>
      <c r="O55" s="335">
        <f t="shared" si="90"/>
        <v>11.645244215938304</v>
      </c>
      <c r="P55" s="335">
        <f t="shared" si="90"/>
        <v>13.433447098976108</v>
      </c>
      <c r="Q55" s="335">
        <f t="shared" si="90"/>
        <v>0</v>
      </c>
      <c r="R55" s="335">
        <f t="shared" si="90"/>
        <v>0</v>
      </c>
      <c r="S55" s="335">
        <f t="shared" si="90"/>
        <v>12.413489736070382</v>
      </c>
      <c r="T55" s="524">
        <f>IFERROR(T54/T53,0)</f>
        <v>12.41348973607038</v>
      </c>
      <c r="U55" s="161"/>
    </row>
    <row r="56" spans="1:41" ht="6" customHeight="1" thickBot="1">
      <c r="A56" s="258"/>
      <c r="B56" s="259"/>
      <c r="C56" s="259"/>
      <c r="D56" s="259"/>
      <c r="E56" s="259"/>
      <c r="F56" s="259"/>
      <c r="G56" s="259"/>
      <c r="H56" s="259"/>
      <c r="I56" s="259"/>
      <c r="J56" s="259"/>
      <c r="K56" s="259"/>
      <c r="L56" s="259"/>
      <c r="M56" s="259"/>
      <c r="N56" s="259"/>
      <c r="O56" s="260"/>
      <c r="P56" s="260"/>
      <c r="Q56" s="260"/>
      <c r="R56" s="260"/>
      <c r="S56" s="261"/>
      <c r="T56" s="171"/>
      <c r="V56" s="82"/>
      <c r="W56" s="82"/>
      <c r="X56" s="82"/>
      <c r="Y56" s="82"/>
      <c r="Z56" s="82"/>
      <c r="AA56" s="82"/>
      <c r="AB56" s="82"/>
      <c r="AC56" s="82"/>
      <c r="AD56" s="82"/>
      <c r="AE56" s="82"/>
      <c r="AF56" s="82"/>
      <c r="AG56" s="82"/>
      <c r="AH56" s="82"/>
      <c r="AI56" s="82"/>
      <c r="AJ56" s="82"/>
      <c r="AK56" s="82"/>
      <c r="AL56" s="82"/>
      <c r="AM56" s="82"/>
      <c r="AN56" s="82"/>
      <c r="AO56" s="82"/>
    </row>
    <row r="57" spans="1:41" s="190" customFormat="1" ht="16.5" customHeight="1">
      <c r="A57" s="1100" t="s">
        <v>393</v>
      </c>
      <c r="B57" s="286" t="s">
        <v>187</v>
      </c>
      <c r="C57" s="284">
        <f>'OpStatTotals(AllServices)'!C45</f>
        <v>4</v>
      </c>
      <c r="D57" s="284">
        <f>'OpStatTotals(AllServices)'!D45</f>
        <v>4</v>
      </c>
      <c r="E57" s="284">
        <f>'OpStatTotals(AllServices)'!E45</f>
        <v>5</v>
      </c>
      <c r="F57" s="284">
        <f>'OpStatTotals(AllServices)'!F45</f>
        <v>4</v>
      </c>
      <c r="G57" s="284">
        <f>'OpStatTotals(AllServices)'!G45</f>
        <v>4</v>
      </c>
      <c r="H57" s="284">
        <f>'OpStatTotals(AllServices)'!H45</f>
        <v>5</v>
      </c>
      <c r="I57" s="284">
        <f>'OpStatTotals(AllServices)'!I45</f>
        <v>0</v>
      </c>
      <c r="J57" s="284">
        <f>'OpStatTotals(AllServices)'!J45</f>
        <v>0</v>
      </c>
      <c r="K57" s="284">
        <f>'OpStatTotals(AllServices)'!K45</f>
        <v>0</v>
      </c>
      <c r="L57" s="284">
        <f>'OpStatTotals(AllServices)'!L45</f>
        <v>0</v>
      </c>
      <c r="M57" s="284">
        <f>'OpStatTotals(AllServices)'!M45</f>
        <v>0</v>
      </c>
      <c r="N57" s="284">
        <f>'OpStatTotals(AllServices)'!N45</f>
        <v>0</v>
      </c>
      <c r="O57" s="317">
        <f>C57+D57+E57</f>
        <v>13</v>
      </c>
      <c r="P57" s="317">
        <f>F57+G57+H57</f>
        <v>13</v>
      </c>
      <c r="Q57" s="317">
        <f>I57+J57+K57</f>
        <v>0</v>
      </c>
      <c r="R57" s="317">
        <f>L57+M57+N57</f>
        <v>0</v>
      </c>
      <c r="S57" s="321">
        <f>SUM(C57:N57)</f>
        <v>26</v>
      </c>
      <c r="T57" s="145"/>
      <c r="U57" s="162"/>
    </row>
    <row r="58" spans="1:41" s="189" customFormat="1" ht="16.5" customHeight="1" thickBot="1">
      <c r="A58" s="1101"/>
      <c r="B58" s="230" t="s">
        <v>244</v>
      </c>
      <c r="C58" s="191">
        <f>'OpStatTotals(AllServices)'!C46</f>
        <v>2</v>
      </c>
      <c r="D58" s="245">
        <f>'OpStatTotals(AllServices)'!D46</f>
        <v>2</v>
      </c>
      <c r="E58" s="245">
        <f>'OpStatTotals(AllServices)'!E46</f>
        <v>2</v>
      </c>
      <c r="F58" s="245">
        <f>'OpStatTotals(AllServices)'!F46</f>
        <v>2</v>
      </c>
      <c r="G58" s="245">
        <f>'OpStatTotals(AllServices)'!G46</f>
        <v>2</v>
      </c>
      <c r="H58" s="245">
        <f>'OpStatTotals(AllServices)'!H46</f>
        <v>2</v>
      </c>
      <c r="I58" s="245">
        <f>'OpStatTotals(AllServices)'!I46</f>
        <v>2</v>
      </c>
      <c r="J58" s="245">
        <f>'OpStatTotals(AllServices)'!J46</f>
        <v>2</v>
      </c>
      <c r="K58" s="245">
        <f>'OpStatTotals(AllServices)'!K46</f>
        <v>2</v>
      </c>
      <c r="L58" s="245">
        <f>'OpStatTotals(AllServices)'!L46</f>
        <v>2</v>
      </c>
      <c r="M58" s="245">
        <f>'OpStatTotals(AllServices)'!M46</f>
        <v>2</v>
      </c>
      <c r="N58" s="245">
        <f>'OpStatTotals(AllServices)'!N46</f>
        <v>2</v>
      </c>
      <c r="O58" s="255">
        <f t="shared" ref="O58" si="91">MAX(C58,D58,E58)</f>
        <v>2</v>
      </c>
      <c r="P58" s="255">
        <f t="shared" ref="P58" si="92">MAX(F58,G58,H58)</f>
        <v>2</v>
      </c>
      <c r="Q58" s="255">
        <f t="shared" ref="Q58" si="93">MAX(I58,J58,K58)</f>
        <v>2</v>
      </c>
      <c r="R58" s="255">
        <f t="shared" ref="R58" si="94">MAX(L58,M58,N58)</f>
        <v>2</v>
      </c>
      <c r="S58" s="315">
        <f t="shared" ref="S58" si="95">MAX(C58:N58)</f>
        <v>2</v>
      </c>
      <c r="T58" s="173">
        <f>S58</f>
        <v>2</v>
      </c>
      <c r="U58" s="167"/>
    </row>
    <row r="59" spans="1:41" s="189" customFormat="1" ht="16.5" customHeight="1">
      <c r="A59" s="1091" t="s">
        <v>248</v>
      </c>
      <c r="B59" s="178" t="s">
        <v>190</v>
      </c>
      <c r="C59" s="180">
        <v>0</v>
      </c>
      <c r="D59" s="180">
        <v>0</v>
      </c>
      <c r="E59" s="180">
        <v>0</v>
      </c>
      <c r="F59" s="180">
        <v>0</v>
      </c>
      <c r="G59" s="180">
        <v>0</v>
      </c>
      <c r="H59" s="180">
        <v>0</v>
      </c>
      <c r="I59" s="180">
        <v>0</v>
      </c>
      <c r="J59" s="180">
        <v>0</v>
      </c>
      <c r="K59" s="180">
        <v>0</v>
      </c>
      <c r="L59" s="180">
        <v>0</v>
      </c>
      <c r="M59" s="180">
        <v>0</v>
      </c>
      <c r="N59" s="180">
        <v>0</v>
      </c>
      <c r="O59" s="265">
        <f>C59+D59+E59</f>
        <v>0</v>
      </c>
      <c r="P59" s="265">
        <f>F59+G59+H59</f>
        <v>0</v>
      </c>
      <c r="Q59" s="265">
        <f>I59+J59+K59</f>
        <v>0</v>
      </c>
      <c r="R59" s="265">
        <f>L59+M59+N59</f>
        <v>0</v>
      </c>
      <c r="S59" s="332">
        <f t="shared" ref="S59:S60" si="96">SUM(C59:N59)</f>
        <v>0</v>
      </c>
      <c r="T59" s="182"/>
      <c r="U59" s="188"/>
    </row>
    <row r="60" spans="1:41" s="189" customFormat="1" ht="16.5" customHeight="1">
      <c r="A60" s="1091"/>
      <c r="B60" s="177" t="s">
        <v>148</v>
      </c>
      <c r="C60" s="322">
        <f>'OpStatTotals(AllServices)'!C47</f>
        <v>92</v>
      </c>
      <c r="D60" s="322">
        <f>'OpStatTotals(AllServices)'!D47</f>
        <v>78</v>
      </c>
      <c r="E60" s="322">
        <f>'OpStatTotals(AllServices)'!E47</f>
        <v>119</v>
      </c>
      <c r="F60" s="322">
        <f>'OpStatTotals(AllServices)'!F47</f>
        <v>80</v>
      </c>
      <c r="G60" s="322">
        <f>'OpStatTotals(AllServices)'!G47</f>
        <v>99</v>
      </c>
      <c r="H60" s="322">
        <f>'OpStatTotals(AllServices)'!H47</f>
        <v>99</v>
      </c>
      <c r="I60" s="322">
        <f>'OpStatTotals(AllServices)'!I47</f>
        <v>0</v>
      </c>
      <c r="J60" s="322">
        <f>'OpStatTotals(AllServices)'!J47</f>
        <v>0</v>
      </c>
      <c r="K60" s="322">
        <f>'OpStatTotals(AllServices)'!K47</f>
        <v>0</v>
      </c>
      <c r="L60" s="322">
        <f>'OpStatTotals(AllServices)'!L47</f>
        <v>0</v>
      </c>
      <c r="M60" s="322">
        <f>'OpStatTotals(AllServices)'!M47</f>
        <v>0</v>
      </c>
      <c r="N60" s="322">
        <f>'OpStatTotals(AllServices)'!N47</f>
        <v>0</v>
      </c>
      <c r="O60" s="249">
        <f>C60+D60+E60</f>
        <v>289</v>
      </c>
      <c r="P60" s="249">
        <f>F60+G60+H60</f>
        <v>278</v>
      </c>
      <c r="Q60" s="249">
        <f>I60+J60+K60</f>
        <v>0</v>
      </c>
      <c r="R60" s="249">
        <f>L60+M60+N60</f>
        <v>0</v>
      </c>
      <c r="S60" s="332">
        <f t="shared" si="96"/>
        <v>567</v>
      </c>
      <c r="T60" s="183"/>
      <c r="U60" s="188"/>
    </row>
    <row r="61" spans="1:41" s="189" customFormat="1" ht="16.5" customHeight="1" thickBot="1">
      <c r="A61" s="1092"/>
      <c r="B61" s="287" t="s">
        <v>45</v>
      </c>
      <c r="C61" s="288">
        <f>C59+C60</f>
        <v>92</v>
      </c>
      <c r="D61" s="288">
        <f t="shared" ref="D61:R61" si="97">D59+D60</f>
        <v>78</v>
      </c>
      <c r="E61" s="288">
        <f t="shared" si="97"/>
        <v>119</v>
      </c>
      <c r="F61" s="288">
        <f t="shared" si="97"/>
        <v>80</v>
      </c>
      <c r="G61" s="316">
        <f t="shared" si="97"/>
        <v>99</v>
      </c>
      <c r="H61" s="316">
        <f t="shared" si="97"/>
        <v>99</v>
      </c>
      <c r="I61" s="316">
        <f t="shared" si="97"/>
        <v>0</v>
      </c>
      <c r="J61" s="316">
        <f t="shared" si="97"/>
        <v>0</v>
      </c>
      <c r="K61" s="316">
        <f t="shared" si="97"/>
        <v>0</v>
      </c>
      <c r="L61" s="316">
        <f t="shared" si="97"/>
        <v>0</v>
      </c>
      <c r="M61" s="316">
        <f t="shared" si="97"/>
        <v>0</v>
      </c>
      <c r="N61" s="316">
        <f t="shared" si="97"/>
        <v>0</v>
      </c>
      <c r="O61" s="316">
        <f t="shared" si="97"/>
        <v>289</v>
      </c>
      <c r="P61" s="316">
        <f t="shared" si="97"/>
        <v>278</v>
      </c>
      <c r="Q61" s="316">
        <f t="shared" si="97"/>
        <v>0</v>
      </c>
      <c r="R61" s="316">
        <f t="shared" si="97"/>
        <v>0</v>
      </c>
      <c r="S61" s="316">
        <f>SUM(C61:N61)</f>
        <v>567</v>
      </c>
      <c r="T61" s="179">
        <f>IFERROR(S61/$S$57,0)</f>
        <v>21.807692307692307</v>
      </c>
      <c r="U61" s="167"/>
    </row>
    <row r="62" spans="1:41" s="189" customFormat="1" ht="16.5" customHeight="1">
      <c r="A62" s="1090" t="s">
        <v>245</v>
      </c>
      <c r="B62" s="184" t="s">
        <v>190</v>
      </c>
      <c r="C62" s="180">
        <v>0</v>
      </c>
      <c r="D62" s="180">
        <v>0</v>
      </c>
      <c r="E62" s="180">
        <v>0</v>
      </c>
      <c r="F62" s="180">
        <v>0</v>
      </c>
      <c r="G62" s="322">
        <v>0</v>
      </c>
      <c r="H62" s="322">
        <v>0</v>
      </c>
      <c r="I62" s="322">
        <v>0</v>
      </c>
      <c r="J62" s="322">
        <v>0</v>
      </c>
      <c r="K62" s="322">
        <v>0</v>
      </c>
      <c r="L62" s="322">
        <v>0</v>
      </c>
      <c r="M62" s="322">
        <v>0</v>
      </c>
      <c r="N62" s="322">
        <v>0</v>
      </c>
      <c r="O62" s="249">
        <f>C62+D62+E62</f>
        <v>0</v>
      </c>
      <c r="P62" s="249">
        <f>F62+G62+H62</f>
        <v>0</v>
      </c>
      <c r="Q62" s="249">
        <f>I62+J62+K62</f>
        <v>0</v>
      </c>
      <c r="R62" s="249">
        <f>L62+M62+N62</f>
        <v>0</v>
      </c>
      <c r="S62" s="333">
        <f t="shared" ref="S62:S63" si="98">SUM(C62:N62)</f>
        <v>0</v>
      </c>
      <c r="T62" s="182"/>
      <c r="U62" s="188"/>
    </row>
    <row r="63" spans="1:41" s="189" customFormat="1" ht="16.5" customHeight="1">
      <c r="A63" s="1091"/>
      <c r="B63" s="177" t="s">
        <v>324</v>
      </c>
      <c r="C63" s="322">
        <f>'OpStatTotals(AllServices)'!C48</f>
        <v>1391</v>
      </c>
      <c r="D63" s="322">
        <f>'OpStatTotals(AllServices)'!D48</f>
        <v>1260</v>
      </c>
      <c r="E63" s="322">
        <f>'OpStatTotals(AllServices)'!E48</f>
        <v>1896</v>
      </c>
      <c r="F63" s="322">
        <f>'OpStatTotals(AllServices)'!F48</f>
        <v>1233</v>
      </c>
      <c r="G63" s="322">
        <f>'OpStatTotals(AllServices)'!G48</f>
        <v>1446</v>
      </c>
      <c r="H63" s="322">
        <f>'OpStatTotals(AllServices)'!H48</f>
        <v>1542</v>
      </c>
      <c r="I63" s="322">
        <f>'OpStatTotals(AllServices)'!I48</f>
        <v>0</v>
      </c>
      <c r="J63" s="322">
        <f>'OpStatTotals(AllServices)'!J48</f>
        <v>0</v>
      </c>
      <c r="K63" s="322">
        <f>'OpStatTotals(AllServices)'!K48</f>
        <v>0</v>
      </c>
      <c r="L63" s="322">
        <f>'OpStatTotals(AllServices)'!L48</f>
        <v>0</v>
      </c>
      <c r="M63" s="322">
        <f>'OpStatTotals(AllServices)'!M48</f>
        <v>0</v>
      </c>
      <c r="N63" s="322">
        <f>'OpStatTotals(AllServices)'!N48</f>
        <v>0</v>
      </c>
      <c r="O63" s="249">
        <f>C63+D63+E63</f>
        <v>4547</v>
      </c>
      <c r="P63" s="249">
        <f>F63+G63+H63</f>
        <v>4221</v>
      </c>
      <c r="Q63" s="249">
        <f>I63+J63+K63</f>
        <v>0</v>
      </c>
      <c r="R63" s="249">
        <f>L63+M63+N63</f>
        <v>0</v>
      </c>
      <c r="S63" s="332">
        <f t="shared" si="98"/>
        <v>8768</v>
      </c>
      <c r="T63" s="183"/>
      <c r="U63" s="188"/>
    </row>
    <row r="64" spans="1:41" s="189" customFormat="1" ht="16.5" customHeight="1" thickBot="1">
      <c r="A64" s="1092"/>
      <c r="B64" s="287" t="s">
        <v>46</v>
      </c>
      <c r="C64" s="288">
        <f>C62+C63</f>
        <v>1391</v>
      </c>
      <c r="D64" s="288">
        <f t="shared" ref="D64:R64" si="99">D62+D63</f>
        <v>1260</v>
      </c>
      <c r="E64" s="288">
        <f t="shared" si="99"/>
        <v>1896</v>
      </c>
      <c r="F64" s="288">
        <f t="shared" si="99"/>
        <v>1233</v>
      </c>
      <c r="G64" s="316">
        <f t="shared" si="99"/>
        <v>1446</v>
      </c>
      <c r="H64" s="316">
        <f t="shared" si="99"/>
        <v>1542</v>
      </c>
      <c r="I64" s="316">
        <f t="shared" si="99"/>
        <v>0</v>
      </c>
      <c r="J64" s="316">
        <f t="shared" si="99"/>
        <v>0</v>
      </c>
      <c r="K64" s="316">
        <f t="shared" si="99"/>
        <v>0</v>
      </c>
      <c r="L64" s="316">
        <f t="shared" si="99"/>
        <v>0</v>
      </c>
      <c r="M64" s="316">
        <f t="shared" si="99"/>
        <v>0</v>
      </c>
      <c r="N64" s="316">
        <f t="shared" si="99"/>
        <v>0</v>
      </c>
      <c r="O64" s="316">
        <f t="shared" si="99"/>
        <v>4547</v>
      </c>
      <c r="P64" s="316">
        <f t="shared" si="99"/>
        <v>4221</v>
      </c>
      <c r="Q64" s="316">
        <f t="shared" si="99"/>
        <v>0</v>
      </c>
      <c r="R64" s="316">
        <f t="shared" si="99"/>
        <v>0</v>
      </c>
      <c r="S64" s="316">
        <f>SUM(C64:N64)</f>
        <v>8768</v>
      </c>
      <c r="T64" s="179">
        <f>IFERROR(S64/$S$57,0)</f>
        <v>337.23076923076923</v>
      </c>
      <c r="U64" s="167"/>
    </row>
    <row r="65" spans="1:21" s="189" customFormat="1" ht="16.5" customHeight="1">
      <c r="A65" s="1090" t="s">
        <v>249</v>
      </c>
      <c r="B65" s="184" t="s">
        <v>190</v>
      </c>
      <c r="C65" s="180">
        <v>0</v>
      </c>
      <c r="D65" s="180">
        <v>0</v>
      </c>
      <c r="E65" s="180">
        <v>0</v>
      </c>
      <c r="F65" s="180">
        <v>0</v>
      </c>
      <c r="G65" s="322">
        <v>0</v>
      </c>
      <c r="H65" s="322">
        <v>0</v>
      </c>
      <c r="I65" s="322">
        <v>0</v>
      </c>
      <c r="J65" s="322">
        <v>0</v>
      </c>
      <c r="K65" s="322">
        <v>0</v>
      </c>
      <c r="L65" s="322">
        <v>0</v>
      </c>
      <c r="M65" s="322">
        <v>0</v>
      </c>
      <c r="N65" s="322">
        <v>0</v>
      </c>
      <c r="O65" s="249">
        <f>C65+D65+E65</f>
        <v>0</v>
      </c>
      <c r="P65" s="249">
        <f>F65+G65+H65</f>
        <v>0</v>
      </c>
      <c r="Q65" s="249">
        <f>I65+J65+K65</f>
        <v>0</v>
      </c>
      <c r="R65" s="249">
        <f>L65+M65+N65</f>
        <v>0</v>
      </c>
      <c r="S65" s="333">
        <f t="shared" ref="S65:S78" si="100">SUM(C65:N65)</f>
        <v>0</v>
      </c>
      <c r="T65" s="187"/>
      <c r="U65" s="188"/>
    </row>
    <row r="66" spans="1:21" s="189" customFormat="1" ht="16.5" customHeight="1">
      <c r="A66" s="1091"/>
      <c r="B66" s="177" t="s">
        <v>148</v>
      </c>
      <c r="C66" s="322">
        <f>'OpStatTotals(AllServices)'!C49</f>
        <v>57</v>
      </c>
      <c r="D66" s="322">
        <f>'OpStatTotals(AllServices)'!D49</f>
        <v>40</v>
      </c>
      <c r="E66" s="322">
        <f>'OpStatTotals(AllServices)'!E49</f>
        <v>68</v>
      </c>
      <c r="F66" s="322">
        <f>'OpStatTotals(AllServices)'!F49</f>
        <v>49</v>
      </c>
      <c r="G66" s="322">
        <f>'OpStatTotals(AllServices)'!G49</f>
        <v>47</v>
      </c>
      <c r="H66" s="322">
        <f>'OpStatTotals(AllServices)'!H49</f>
        <v>53</v>
      </c>
      <c r="I66" s="322">
        <f>'OpStatTotals(AllServices)'!I49</f>
        <v>0</v>
      </c>
      <c r="J66" s="322">
        <f>'OpStatTotals(AllServices)'!J49</f>
        <v>0</v>
      </c>
      <c r="K66" s="322">
        <f>'OpStatTotals(AllServices)'!K49</f>
        <v>0</v>
      </c>
      <c r="L66" s="322">
        <f>'OpStatTotals(AllServices)'!L49</f>
        <v>0</v>
      </c>
      <c r="M66" s="322">
        <f>'OpStatTotals(AllServices)'!M49</f>
        <v>0</v>
      </c>
      <c r="N66" s="322">
        <f>'OpStatTotals(AllServices)'!N49</f>
        <v>0</v>
      </c>
      <c r="O66" s="249">
        <f>C66+D66+E66</f>
        <v>165</v>
      </c>
      <c r="P66" s="249">
        <f>F66+G66+H66</f>
        <v>149</v>
      </c>
      <c r="Q66" s="249">
        <f>I66+J66+K66</f>
        <v>0</v>
      </c>
      <c r="R66" s="249">
        <f>L66+M66+N66</f>
        <v>0</v>
      </c>
      <c r="S66" s="332">
        <f t="shared" si="100"/>
        <v>314</v>
      </c>
      <c r="T66" s="183"/>
      <c r="U66" s="188"/>
    </row>
    <row r="67" spans="1:21" s="190" customFormat="1" ht="16.5" customHeight="1" thickBot="1">
      <c r="A67" s="1092"/>
      <c r="B67" s="287" t="s">
        <v>109</v>
      </c>
      <c r="C67" s="288">
        <f>C65+C66</f>
        <v>57</v>
      </c>
      <c r="D67" s="288">
        <f t="shared" ref="D67:R67" si="101">D65+D66</f>
        <v>40</v>
      </c>
      <c r="E67" s="288">
        <f t="shared" si="101"/>
        <v>68</v>
      </c>
      <c r="F67" s="288">
        <f t="shared" si="101"/>
        <v>49</v>
      </c>
      <c r="G67" s="316">
        <f t="shared" si="101"/>
        <v>47</v>
      </c>
      <c r="H67" s="316">
        <f t="shared" si="101"/>
        <v>53</v>
      </c>
      <c r="I67" s="316">
        <f t="shared" si="101"/>
        <v>0</v>
      </c>
      <c r="J67" s="316">
        <f t="shared" si="101"/>
        <v>0</v>
      </c>
      <c r="K67" s="316">
        <f t="shared" si="101"/>
        <v>0</v>
      </c>
      <c r="L67" s="316">
        <f t="shared" si="101"/>
        <v>0</v>
      </c>
      <c r="M67" s="316">
        <f t="shared" si="101"/>
        <v>0</v>
      </c>
      <c r="N67" s="316">
        <f t="shared" si="101"/>
        <v>0</v>
      </c>
      <c r="O67" s="316">
        <f t="shared" si="101"/>
        <v>165</v>
      </c>
      <c r="P67" s="316">
        <f t="shared" si="101"/>
        <v>149</v>
      </c>
      <c r="Q67" s="316">
        <f t="shared" si="101"/>
        <v>0</v>
      </c>
      <c r="R67" s="316">
        <f t="shared" si="101"/>
        <v>0</v>
      </c>
      <c r="S67" s="316">
        <f t="shared" si="100"/>
        <v>314</v>
      </c>
      <c r="T67" s="179">
        <f>IFERROR(S67/$S$57,0)</f>
        <v>12.076923076923077</v>
      </c>
      <c r="U67" s="162"/>
    </row>
    <row r="68" spans="1:21" s="190" customFormat="1" ht="16.5" customHeight="1">
      <c r="A68" s="1090" t="s">
        <v>246</v>
      </c>
      <c r="B68" s="178" t="s">
        <v>190</v>
      </c>
      <c r="C68" s="180">
        <v>0</v>
      </c>
      <c r="D68" s="180">
        <v>0</v>
      </c>
      <c r="E68" s="180">
        <v>0</v>
      </c>
      <c r="F68" s="180">
        <v>0</v>
      </c>
      <c r="G68" s="322">
        <v>0</v>
      </c>
      <c r="H68" s="322">
        <v>0</v>
      </c>
      <c r="I68" s="322">
        <v>0</v>
      </c>
      <c r="J68" s="322">
        <v>0</v>
      </c>
      <c r="K68" s="322">
        <v>0</v>
      </c>
      <c r="L68" s="322">
        <v>0</v>
      </c>
      <c r="M68" s="322">
        <v>0</v>
      </c>
      <c r="N68" s="322">
        <v>0</v>
      </c>
      <c r="O68" s="249">
        <f>C68+D68+E68</f>
        <v>0</v>
      </c>
      <c r="P68" s="249">
        <f>F68+G68+H68</f>
        <v>0</v>
      </c>
      <c r="Q68" s="249">
        <f>I68+J68+K68</f>
        <v>0</v>
      </c>
      <c r="R68" s="249">
        <f>L68+M68+N68</f>
        <v>0</v>
      </c>
      <c r="S68" s="332">
        <f t="shared" si="100"/>
        <v>0</v>
      </c>
      <c r="T68" s="182"/>
      <c r="U68" s="165"/>
    </row>
    <row r="69" spans="1:21" s="190" customFormat="1" ht="16.5" customHeight="1">
      <c r="A69" s="1091"/>
      <c r="B69" s="177" t="s">
        <v>148</v>
      </c>
      <c r="C69" s="322">
        <f>'OpStatTotals(AllServices)'!C50</f>
        <v>1006</v>
      </c>
      <c r="D69" s="322">
        <f>'OpStatTotals(AllServices)'!D50</f>
        <v>840</v>
      </c>
      <c r="E69" s="322">
        <f>'OpStatTotals(AllServices)'!E50</f>
        <v>1296</v>
      </c>
      <c r="F69" s="322">
        <f>'OpStatTotals(AllServices)'!F50</f>
        <v>851</v>
      </c>
      <c r="G69" s="322">
        <f>'OpStatTotals(AllServices)'!G50</f>
        <v>885</v>
      </c>
      <c r="H69" s="322">
        <f>'OpStatTotals(AllServices)'!H50</f>
        <v>1018</v>
      </c>
      <c r="I69" s="322">
        <f>'OpStatTotals(AllServices)'!I50</f>
        <v>0</v>
      </c>
      <c r="J69" s="322">
        <f>'OpStatTotals(AllServices)'!J50</f>
        <v>0</v>
      </c>
      <c r="K69" s="322">
        <f>'OpStatTotals(AllServices)'!K50</f>
        <v>0</v>
      </c>
      <c r="L69" s="322">
        <f>'OpStatTotals(AllServices)'!L50</f>
        <v>0</v>
      </c>
      <c r="M69" s="322">
        <f>'OpStatTotals(AllServices)'!M50</f>
        <v>0</v>
      </c>
      <c r="N69" s="322">
        <f>'OpStatTotals(AllServices)'!N50</f>
        <v>0</v>
      </c>
      <c r="O69" s="249">
        <f>C69+D69+E69</f>
        <v>3142</v>
      </c>
      <c r="P69" s="249">
        <f>F69+G69+H69</f>
        <v>2754</v>
      </c>
      <c r="Q69" s="249">
        <f>I69+J69+K69</f>
        <v>0</v>
      </c>
      <c r="R69" s="249">
        <f>L69+M69+N69</f>
        <v>0</v>
      </c>
      <c r="S69" s="332">
        <f t="shared" si="100"/>
        <v>5896</v>
      </c>
      <c r="T69" s="183"/>
      <c r="U69" s="165"/>
    </row>
    <row r="70" spans="1:21" s="190" customFormat="1" ht="16.5" customHeight="1" thickBot="1">
      <c r="A70" s="1092"/>
      <c r="B70" s="287" t="s">
        <v>47</v>
      </c>
      <c r="C70" s="288">
        <f>C68+C69</f>
        <v>1006</v>
      </c>
      <c r="D70" s="288">
        <f t="shared" ref="D70:R70" si="102">D68+D69</f>
        <v>840</v>
      </c>
      <c r="E70" s="288">
        <f t="shared" si="102"/>
        <v>1296</v>
      </c>
      <c r="F70" s="288">
        <f t="shared" si="102"/>
        <v>851</v>
      </c>
      <c r="G70" s="316">
        <f t="shared" si="102"/>
        <v>885</v>
      </c>
      <c r="H70" s="316">
        <f t="shared" si="102"/>
        <v>1018</v>
      </c>
      <c r="I70" s="316">
        <f t="shared" si="102"/>
        <v>0</v>
      </c>
      <c r="J70" s="316">
        <f t="shared" si="102"/>
        <v>0</v>
      </c>
      <c r="K70" s="316">
        <f t="shared" si="102"/>
        <v>0</v>
      </c>
      <c r="L70" s="316">
        <f t="shared" si="102"/>
        <v>0</v>
      </c>
      <c r="M70" s="316">
        <f t="shared" si="102"/>
        <v>0</v>
      </c>
      <c r="N70" s="316">
        <f t="shared" si="102"/>
        <v>0</v>
      </c>
      <c r="O70" s="316">
        <f t="shared" si="102"/>
        <v>3142</v>
      </c>
      <c r="P70" s="316">
        <f t="shared" si="102"/>
        <v>2754</v>
      </c>
      <c r="Q70" s="316">
        <f t="shared" si="102"/>
        <v>0</v>
      </c>
      <c r="R70" s="316">
        <f t="shared" si="102"/>
        <v>0</v>
      </c>
      <c r="S70" s="316">
        <f t="shared" si="100"/>
        <v>5896</v>
      </c>
      <c r="T70" s="179">
        <f>IFERROR(S70/$S$57,0)</f>
        <v>226.76923076923077</v>
      </c>
      <c r="U70" s="162"/>
    </row>
    <row r="71" spans="1:21" s="190" customFormat="1" ht="16.5" customHeight="1">
      <c r="A71" s="1090" t="s">
        <v>251</v>
      </c>
      <c r="B71" s="184" t="s">
        <v>190</v>
      </c>
      <c r="C71" s="180">
        <v>0</v>
      </c>
      <c r="D71" s="180">
        <v>0</v>
      </c>
      <c r="E71" s="180">
        <v>0</v>
      </c>
      <c r="F71" s="180">
        <v>0</v>
      </c>
      <c r="G71" s="322">
        <v>0</v>
      </c>
      <c r="H71" s="322">
        <v>0</v>
      </c>
      <c r="I71" s="322">
        <v>0</v>
      </c>
      <c r="J71" s="322">
        <v>0</v>
      </c>
      <c r="K71" s="322">
        <v>0</v>
      </c>
      <c r="L71" s="322">
        <v>0</v>
      </c>
      <c r="M71" s="322">
        <v>0</v>
      </c>
      <c r="N71" s="322">
        <v>0</v>
      </c>
      <c r="O71" s="249">
        <f>C71+D71+E71</f>
        <v>0</v>
      </c>
      <c r="P71" s="249">
        <f>F71+G71+H71</f>
        <v>0</v>
      </c>
      <c r="Q71" s="249">
        <f>I71+J71+K71</f>
        <v>0</v>
      </c>
      <c r="R71" s="249">
        <f>L71+M71+N71</f>
        <v>0</v>
      </c>
      <c r="S71" s="333">
        <f t="shared" si="100"/>
        <v>0</v>
      </c>
      <c r="T71" s="182"/>
      <c r="U71" s="165"/>
    </row>
    <row r="72" spans="1:21" s="190" customFormat="1" ht="16.5" customHeight="1">
      <c r="A72" s="1091"/>
      <c r="B72" s="177" t="s">
        <v>148</v>
      </c>
      <c r="C72" s="180">
        <f>'OpStatTotals(AllServices)'!C51</f>
        <v>806</v>
      </c>
      <c r="D72" s="180">
        <f>'OpStatTotals(AllServices)'!D51</f>
        <v>648</v>
      </c>
      <c r="E72" s="180">
        <f>'OpStatTotals(AllServices)'!E51</f>
        <v>1188</v>
      </c>
      <c r="F72" s="180">
        <f>'OpStatTotals(AllServices)'!F51</f>
        <v>634</v>
      </c>
      <c r="G72" s="322">
        <f>'OpStatTotals(AllServices)'!G51</f>
        <v>770</v>
      </c>
      <c r="H72" s="322">
        <f>'OpStatTotals(AllServices)'!H51</f>
        <v>911</v>
      </c>
      <c r="I72" s="322">
        <f>'OpStatTotals(AllServices)'!I51</f>
        <v>0</v>
      </c>
      <c r="J72" s="322">
        <f>'OpStatTotals(AllServices)'!J51</f>
        <v>0</v>
      </c>
      <c r="K72" s="322">
        <f>'OpStatTotals(AllServices)'!K51</f>
        <v>0</v>
      </c>
      <c r="L72" s="322">
        <f>'OpStatTotals(AllServices)'!L51</f>
        <v>0</v>
      </c>
      <c r="M72" s="322">
        <f>'OpStatTotals(AllServices)'!M51</f>
        <v>0</v>
      </c>
      <c r="N72" s="322">
        <f>'OpStatTotals(AllServices)'!N51</f>
        <v>0</v>
      </c>
      <c r="O72" s="249">
        <f>C72+D72+E72</f>
        <v>2642</v>
      </c>
      <c r="P72" s="249">
        <f>F72+G72+H72</f>
        <v>2315</v>
      </c>
      <c r="Q72" s="249">
        <f>I72+J72+K72</f>
        <v>0</v>
      </c>
      <c r="R72" s="249">
        <f>L72+M72+N72</f>
        <v>0</v>
      </c>
      <c r="S72" s="332">
        <f t="shared" si="100"/>
        <v>4957</v>
      </c>
      <c r="T72" s="183"/>
      <c r="U72" s="165"/>
    </row>
    <row r="73" spans="1:21" s="190" customFormat="1" ht="16.5" customHeight="1" thickBot="1">
      <c r="A73" s="1092"/>
      <c r="B73" s="287" t="s">
        <v>241</v>
      </c>
      <c r="C73" s="288">
        <f>C71+C72</f>
        <v>806</v>
      </c>
      <c r="D73" s="288">
        <f t="shared" ref="D73:R73" si="103">D71+D72</f>
        <v>648</v>
      </c>
      <c r="E73" s="288">
        <f t="shared" si="103"/>
        <v>1188</v>
      </c>
      <c r="F73" s="288">
        <f t="shared" si="103"/>
        <v>634</v>
      </c>
      <c r="G73" s="316">
        <f t="shared" si="103"/>
        <v>770</v>
      </c>
      <c r="H73" s="316">
        <f t="shared" si="103"/>
        <v>911</v>
      </c>
      <c r="I73" s="316">
        <f t="shared" si="103"/>
        <v>0</v>
      </c>
      <c r="J73" s="316">
        <f t="shared" si="103"/>
        <v>0</v>
      </c>
      <c r="K73" s="316">
        <f t="shared" si="103"/>
        <v>0</v>
      </c>
      <c r="L73" s="316">
        <f t="shared" si="103"/>
        <v>0</v>
      </c>
      <c r="M73" s="316">
        <f t="shared" si="103"/>
        <v>0</v>
      </c>
      <c r="N73" s="316">
        <f t="shared" si="103"/>
        <v>0</v>
      </c>
      <c r="O73" s="316">
        <f t="shared" si="103"/>
        <v>2642</v>
      </c>
      <c r="P73" s="316">
        <f t="shared" si="103"/>
        <v>2315</v>
      </c>
      <c r="Q73" s="316">
        <f t="shared" si="103"/>
        <v>0</v>
      </c>
      <c r="R73" s="316">
        <f t="shared" si="103"/>
        <v>0</v>
      </c>
      <c r="S73" s="316">
        <f t="shared" si="100"/>
        <v>4957</v>
      </c>
      <c r="T73" s="179">
        <f>IFERROR(S73/$S$57,0)</f>
        <v>190.65384615384616</v>
      </c>
      <c r="U73" s="162"/>
    </row>
    <row r="74" spans="1:21" s="190" customFormat="1" ht="16.5" customHeight="1">
      <c r="A74" s="1091" t="s">
        <v>260</v>
      </c>
      <c r="B74" s="178" t="s">
        <v>265</v>
      </c>
      <c r="C74" s="180">
        <v>0</v>
      </c>
      <c r="D74" s="180">
        <v>0</v>
      </c>
      <c r="E74" s="180">
        <v>0</v>
      </c>
      <c r="F74" s="180">
        <v>0</v>
      </c>
      <c r="G74" s="322">
        <v>0</v>
      </c>
      <c r="H74" s="322">
        <v>0</v>
      </c>
      <c r="I74" s="322">
        <v>0</v>
      </c>
      <c r="J74" s="322">
        <v>0</v>
      </c>
      <c r="K74" s="322">
        <v>0</v>
      </c>
      <c r="L74" s="322">
        <v>0</v>
      </c>
      <c r="M74" s="322">
        <v>0</v>
      </c>
      <c r="N74" s="322">
        <v>0</v>
      </c>
      <c r="O74" s="249">
        <f>C74+D74+E74</f>
        <v>0</v>
      </c>
      <c r="P74" s="249">
        <f>F74+G74+H74</f>
        <v>0</v>
      </c>
      <c r="Q74" s="249">
        <f>I74+J74+K74</f>
        <v>0</v>
      </c>
      <c r="R74" s="249">
        <f>L74+M74+N74</f>
        <v>0</v>
      </c>
      <c r="S74" s="332">
        <f t="shared" si="100"/>
        <v>0</v>
      </c>
      <c r="T74" s="182"/>
      <c r="U74" s="162"/>
    </row>
    <row r="75" spans="1:21" s="190" customFormat="1" ht="16.5" customHeight="1">
      <c r="A75" s="1091"/>
      <c r="B75" s="177" t="s">
        <v>263</v>
      </c>
      <c r="C75" s="180">
        <f>'OpStatTotals(AllServices)'!C52</f>
        <v>129</v>
      </c>
      <c r="D75" s="180">
        <f>'OpStatTotals(AllServices)'!D52</f>
        <v>93</v>
      </c>
      <c r="E75" s="180">
        <f>'OpStatTotals(AllServices)'!E52</f>
        <v>147</v>
      </c>
      <c r="F75" s="180">
        <f>'OpStatTotals(AllServices)'!F52</f>
        <v>104</v>
      </c>
      <c r="G75" s="322">
        <f>'OpStatTotals(AllServices)'!G52</f>
        <v>103</v>
      </c>
      <c r="H75" s="322">
        <f>'OpStatTotals(AllServices)'!H52</f>
        <v>119</v>
      </c>
      <c r="I75" s="322">
        <f>'OpStatTotals(AllServices)'!I52</f>
        <v>0</v>
      </c>
      <c r="J75" s="322">
        <f>'OpStatTotals(AllServices)'!J52</f>
        <v>0</v>
      </c>
      <c r="K75" s="322">
        <f>'OpStatTotals(AllServices)'!K52</f>
        <v>0</v>
      </c>
      <c r="L75" s="322">
        <f>'OpStatTotals(AllServices)'!L52</f>
        <v>0</v>
      </c>
      <c r="M75" s="322">
        <f>'OpStatTotals(AllServices)'!M52</f>
        <v>0</v>
      </c>
      <c r="N75" s="322">
        <f>'OpStatTotals(AllServices)'!N52</f>
        <v>0</v>
      </c>
      <c r="O75" s="249">
        <f>C75+D75+E75</f>
        <v>369</v>
      </c>
      <c r="P75" s="249">
        <f>F75+G75+H75</f>
        <v>326</v>
      </c>
      <c r="Q75" s="249">
        <f>I75+J75+K75</f>
        <v>0</v>
      </c>
      <c r="R75" s="249">
        <f>L75+M75+N75</f>
        <v>0</v>
      </c>
      <c r="S75" s="332">
        <f t="shared" si="100"/>
        <v>695</v>
      </c>
      <c r="T75" s="183"/>
      <c r="U75" s="162"/>
    </row>
    <row r="76" spans="1:21" s="190" customFormat="1" ht="16.5" customHeight="1">
      <c r="A76" s="1091"/>
      <c r="B76" s="289" t="s">
        <v>270</v>
      </c>
      <c r="C76" s="290">
        <f>C74+C75</f>
        <v>129</v>
      </c>
      <c r="D76" s="290">
        <f t="shared" ref="D76:N76" si="104">D74+D75</f>
        <v>93</v>
      </c>
      <c r="E76" s="290">
        <f t="shared" si="104"/>
        <v>147</v>
      </c>
      <c r="F76" s="290">
        <f t="shared" si="104"/>
        <v>104</v>
      </c>
      <c r="G76" s="324">
        <f t="shared" si="104"/>
        <v>103</v>
      </c>
      <c r="H76" s="324">
        <f t="shared" si="104"/>
        <v>119</v>
      </c>
      <c r="I76" s="324">
        <f t="shared" si="104"/>
        <v>0</v>
      </c>
      <c r="J76" s="324">
        <f t="shared" si="104"/>
        <v>0</v>
      </c>
      <c r="K76" s="324">
        <f t="shared" si="104"/>
        <v>0</v>
      </c>
      <c r="L76" s="324">
        <f t="shared" si="104"/>
        <v>0</v>
      </c>
      <c r="M76" s="324">
        <f t="shared" si="104"/>
        <v>0</v>
      </c>
      <c r="N76" s="324">
        <f t="shared" si="104"/>
        <v>0</v>
      </c>
      <c r="O76" s="324">
        <f t="shared" ref="O76:O78" si="105">C76+D76+E76</f>
        <v>369</v>
      </c>
      <c r="P76" s="324">
        <f t="shared" ref="P76:P78" si="106">F76+G76+H76</f>
        <v>326</v>
      </c>
      <c r="Q76" s="324">
        <f t="shared" ref="Q76:Q78" si="107">I76+J76+K76</f>
        <v>0</v>
      </c>
      <c r="R76" s="324">
        <f t="shared" ref="R76:R78" si="108">L76+M76+N76</f>
        <v>0</v>
      </c>
      <c r="S76" s="339">
        <f t="shared" si="100"/>
        <v>695</v>
      </c>
      <c r="T76" s="145"/>
      <c r="U76" s="162"/>
    </row>
    <row r="77" spans="1:21" s="190" customFormat="1" ht="16.5" customHeight="1">
      <c r="A77" s="1091"/>
      <c r="B77" s="289" t="s">
        <v>264</v>
      </c>
      <c r="C77" s="290">
        <v>0</v>
      </c>
      <c r="D77" s="290">
        <v>0</v>
      </c>
      <c r="E77" s="290">
        <v>0</v>
      </c>
      <c r="F77" s="290">
        <v>0</v>
      </c>
      <c r="G77" s="324">
        <v>0</v>
      </c>
      <c r="H77" s="324">
        <v>0</v>
      </c>
      <c r="I77" s="324">
        <v>0</v>
      </c>
      <c r="J77" s="324">
        <v>0</v>
      </c>
      <c r="K77" s="324">
        <v>0</v>
      </c>
      <c r="L77" s="324">
        <v>0</v>
      </c>
      <c r="M77" s="324">
        <v>0</v>
      </c>
      <c r="N77" s="324">
        <v>0</v>
      </c>
      <c r="O77" s="324">
        <f t="shared" si="105"/>
        <v>0</v>
      </c>
      <c r="P77" s="324">
        <f t="shared" si="106"/>
        <v>0</v>
      </c>
      <c r="Q77" s="324">
        <f t="shared" si="107"/>
        <v>0</v>
      </c>
      <c r="R77" s="324">
        <f t="shared" si="108"/>
        <v>0</v>
      </c>
      <c r="S77" s="339">
        <f t="shared" si="100"/>
        <v>0</v>
      </c>
      <c r="T77" s="145"/>
      <c r="U77" s="162"/>
    </row>
    <row r="78" spans="1:21" s="190" customFormat="1" ht="16.5" customHeight="1">
      <c r="A78" s="1091"/>
      <c r="B78" s="289" t="s">
        <v>266</v>
      </c>
      <c r="C78" s="290">
        <v>0</v>
      </c>
      <c r="D78" s="290">
        <v>0</v>
      </c>
      <c r="E78" s="290">
        <v>0</v>
      </c>
      <c r="F78" s="290">
        <v>0</v>
      </c>
      <c r="G78" s="324">
        <v>0</v>
      </c>
      <c r="H78" s="324">
        <v>0</v>
      </c>
      <c r="I78" s="324">
        <v>0</v>
      </c>
      <c r="J78" s="324">
        <v>0</v>
      </c>
      <c r="K78" s="324">
        <v>0</v>
      </c>
      <c r="L78" s="324">
        <v>0</v>
      </c>
      <c r="M78" s="324">
        <v>0</v>
      </c>
      <c r="N78" s="324">
        <v>0</v>
      </c>
      <c r="O78" s="324">
        <f t="shared" si="105"/>
        <v>0</v>
      </c>
      <c r="P78" s="324">
        <f t="shared" si="106"/>
        <v>0</v>
      </c>
      <c r="Q78" s="324">
        <f t="shared" si="107"/>
        <v>0</v>
      </c>
      <c r="R78" s="324">
        <f t="shared" si="108"/>
        <v>0</v>
      </c>
      <c r="S78" s="339">
        <f t="shared" si="100"/>
        <v>0</v>
      </c>
      <c r="T78" s="145"/>
      <c r="U78" s="162"/>
    </row>
    <row r="79" spans="1:21" s="190" customFormat="1" ht="16.5" customHeight="1" thickBot="1">
      <c r="A79" s="1092"/>
      <c r="B79" s="287" t="s">
        <v>269</v>
      </c>
      <c r="C79" s="288">
        <f>SUM(C76:C78)</f>
        <v>129</v>
      </c>
      <c r="D79" s="288">
        <f t="shared" ref="D79:S79" si="109">SUM(D76:D78)</f>
        <v>93</v>
      </c>
      <c r="E79" s="288">
        <f t="shared" si="109"/>
        <v>147</v>
      </c>
      <c r="F79" s="288">
        <f t="shared" si="109"/>
        <v>104</v>
      </c>
      <c r="G79" s="316">
        <f t="shared" si="109"/>
        <v>103</v>
      </c>
      <c r="H79" s="316">
        <f t="shared" si="109"/>
        <v>119</v>
      </c>
      <c r="I79" s="316">
        <f t="shared" si="109"/>
        <v>0</v>
      </c>
      <c r="J79" s="316">
        <f t="shared" si="109"/>
        <v>0</v>
      </c>
      <c r="K79" s="316">
        <f t="shared" si="109"/>
        <v>0</v>
      </c>
      <c r="L79" s="316">
        <f t="shared" si="109"/>
        <v>0</v>
      </c>
      <c r="M79" s="316">
        <f t="shared" si="109"/>
        <v>0</v>
      </c>
      <c r="N79" s="316">
        <f t="shared" si="109"/>
        <v>0</v>
      </c>
      <c r="O79" s="316">
        <f t="shared" si="109"/>
        <v>369</v>
      </c>
      <c r="P79" s="316">
        <f t="shared" si="109"/>
        <v>326</v>
      </c>
      <c r="Q79" s="316">
        <f t="shared" si="109"/>
        <v>0</v>
      </c>
      <c r="R79" s="316">
        <f t="shared" si="109"/>
        <v>0</v>
      </c>
      <c r="S79" s="316">
        <f t="shared" si="109"/>
        <v>695</v>
      </c>
      <c r="T79" s="179">
        <f>IFERROR(S79/$S$57,0)</f>
        <v>26.73076923076923</v>
      </c>
      <c r="U79" s="162"/>
    </row>
    <row r="80" spans="1:21" s="190" customFormat="1" ht="16.5" customHeight="1">
      <c r="A80" s="1087" t="s">
        <v>268</v>
      </c>
      <c r="B80" s="312" t="s">
        <v>250</v>
      </c>
      <c r="C80" s="313">
        <f t="shared" ref="C80:N80" si="110">C61-C67</f>
        <v>35</v>
      </c>
      <c r="D80" s="313">
        <f t="shared" si="110"/>
        <v>38</v>
      </c>
      <c r="E80" s="313">
        <f t="shared" si="110"/>
        <v>51</v>
      </c>
      <c r="F80" s="313">
        <f t="shared" si="110"/>
        <v>31</v>
      </c>
      <c r="G80" s="313">
        <f t="shared" si="110"/>
        <v>52</v>
      </c>
      <c r="H80" s="313">
        <f t="shared" si="110"/>
        <v>46</v>
      </c>
      <c r="I80" s="313">
        <f t="shared" si="110"/>
        <v>0</v>
      </c>
      <c r="J80" s="313">
        <f t="shared" si="110"/>
        <v>0</v>
      </c>
      <c r="K80" s="313">
        <f t="shared" si="110"/>
        <v>0</v>
      </c>
      <c r="L80" s="313">
        <f t="shared" si="110"/>
        <v>0</v>
      </c>
      <c r="M80" s="313">
        <f t="shared" si="110"/>
        <v>0</v>
      </c>
      <c r="N80" s="313">
        <f t="shared" si="110"/>
        <v>0</v>
      </c>
      <c r="O80" s="313">
        <f>C80+D80+E80</f>
        <v>124</v>
      </c>
      <c r="P80" s="313">
        <f>F80+G80+H80</f>
        <v>129</v>
      </c>
      <c r="Q80" s="313">
        <f>I80+J80+K80</f>
        <v>0</v>
      </c>
      <c r="R80" s="313">
        <f>L80+M80+N80</f>
        <v>0</v>
      </c>
      <c r="S80" s="313">
        <f t="shared" ref="S80" si="111">SUM(C80:N80)</f>
        <v>253</v>
      </c>
      <c r="T80" s="176"/>
      <c r="U80" s="162"/>
    </row>
    <row r="81" spans="1:41" s="190" customFormat="1" ht="16.5" customHeight="1">
      <c r="A81" s="1088"/>
      <c r="B81" s="312" t="s">
        <v>247</v>
      </c>
      <c r="C81" s="313">
        <f t="shared" ref="C81:S81" si="112">C64-C70</f>
        <v>385</v>
      </c>
      <c r="D81" s="313">
        <f t="shared" si="112"/>
        <v>420</v>
      </c>
      <c r="E81" s="313">
        <f t="shared" si="112"/>
        <v>600</v>
      </c>
      <c r="F81" s="313">
        <f t="shared" si="112"/>
        <v>382</v>
      </c>
      <c r="G81" s="313">
        <f t="shared" si="112"/>
        <v>561</v>
      </c>
      <c r="H81" s="313">
        <f t="shared" si="112"/>
        <v>524</v>
      </c>
      <c r="I81" s="313">
        <f t="shared" si="112"/>
        <v>0</v>
      </c>
      <c r="J81" s="313">
        <f t="shared" si="112"/>
        <v>0</v>
      </c>
      <c r="K81" s="313">
        <f t="shared" si="112"/>
        <v>0</v>
      </c>
      <c r="L81" s="313">
        <f t="shared" si="112"/>
        <v>0</v>
      </c>
      <c r="M81" s="313">
        <f t="shared" si="112"/>
        <v>0</v>
      </c>
      <c r="N81" s="313">
        <f t="shared" si="112"/>
        <v>0</v>
      </c>
      <c r="O81" s="313">
        <f t="shared" si="112"/>
        <v>1405</v>
      </c>
      <c r="P81" s="313">
        <f t="shared" si="112"/>
        <v>1467</v>
      </c>
      <c r="Q81" s="313">
        <f t="shared" si="112"/>
        <v>0</v>
      </c>
      <c r="R81" s="313">
        <f t="shared" si="112"/>
        <v>0</v>
      </c>
      <c r="S81" s="313">
        <f t="shared" si="112"/>
        <v>2872</v>
      </c>
      <c r="T81" s="176"/>
      <c r="U81" s="162"/>
    </row>
    <row r="82" spans="1:41" s="190" customFormat="1" ht="16.5" customHeight="1">
      <c r="A82" s="1089"/>
      <c r="B82" s="312" t="s">
        <v>261</v>
      </c>
      <c r="C82" s="314">
        <f t="shared" ref="C82:S82" si="113">IFERROR(C81/C80,0)</f>
        <v>11</v>
      </c>
      <c r="D82" s="314">
        <f t="shared" si="113"/>
        <v>11.052631578947368</v>
      </c>
      <c r="E82" s="314">
        <f t="shared" si="113"/>
        <v>11.764705882352942</v>
      </c>
      <c r="F82" s="314">
        <f t="shared" si="113"/>
        <v>12.32258064516129</v>
      </c>
      <c r="G82" s="314">
        <f t="shared" si="113"/>
        <v>10.788461538461538</v>
      </c>
      <c r="H82" s="314">
        <f t="shared" si="113"/>
        <v>11.391304347826088</v>
      </c>
      <c r="I82" s="314">
        <f t="shared" si="113"/>
        <v>0</v>
      </c>
      <c r="J82" s="314">
        <f t="shared" si="113"/>
        <v>0</v>
      </c>
      <c r="K82" s="314">
        <f t="shared" si="113"/>
        <v>0</v>
      </c>
      <c r="L82" s="314">
        <f t="shared" si="113"/>
        <v>0</v>
      </c>
      <c r="M82" s="314">
        <f t="shared" si="113"/>
        <v>0</v>
      </c>
      <c r="N82" s="314">
        <f t="shared" si="113"/>
        <v>0</v>
      </c>
      <c r="O82" s="314">
        <f t="shared" si="113"/>
        <v>11.330645161290322</v>
      </c>
      <c r="P82" s="314">
        <f t="shared" si="113"/>
        <v>11.372093023255815</v>
      </c>
      <c r="Q82" s="314">
        <f t="shared" si="113"/>
        <v>0</v>
      </c>
      <c r="R82" s="314">
        <f t="shared" si="113"/>
        <v>0</v>
      </c>
      <c r="S82" s="314">
        <f t="shared" si="113"/>
        <v>11.351778656126482</v>
      </c>
      <c r="T82" s="176"/>
      <c r="U82" s="162"/>
    </row>
    <row r="83" spans="1:41" ht="6" customHeight="1" thickBot="1">
      <c r="A83" s="168"/>
      <c r="B83" s="169"/>
      <c r="C83" s="169"/>
      <c r="D83" s="169"/>
      <c r="E83" s="169"/>
      <c r="F83" s="169"/>
      <c r="G83" s="169"/>
      <c r="H83" s="169"/>
      <c r="I83" s="169"/>
      <c r="J83" s="169"/>
      <c r="K83" s="169"/>
      <c r="L83" s="169"/>
      <c r="M83" s="169"/>
      <c r="N83" s="169"/>
      <c r="O83" s="170"/>
      <c r="P83" s="170"/>
      <c r="Q83" s="170"/>
      <c r="R83" s="170"/>
      <c r="S83" s="172"/>
      <c r="T83" s="171"/>
      <c r="V83" s="82"/>
      <c r="W83" s="82"/>
      <c r="X83" s="82"/>
      <c r="Y83" s="82"/>
      <c r="Z83" s="82"/>
      <c r="AA83" s="82"/>
      <c r="AB83" s="82"/>
      <c r="AC83" s="82"/>
      <c r="AD83" s="82"/>
      <c r="AE83" s="82"/>
      <c r="AF83" s="82"/>
      <c r="AG83" s="82"/>
      <c r="AH83" s="82"/>
      <c r="AI83" s="82"/>
      <c r="AJ83" s="82"/>
      <c r="AK83" s="82"/>
      <c r="AL83" s="82"/>
      <c r="AM83" s="82"/>
      <c r="AN83" s="82"/>
      <c r="AO83" s="82"/>
    </row>
    <row r="84" spans="1:41" s="190" customFormat="1" ht="16.5" customHeight="1">
      <c r="A84" s="1096" t="s">
        <v>262</v>
      </c>
      <c r="B84" s="286" t="s">
        <v>187</v>
      </c>
      <c r="C84" s="292">
        <f t="shared" ref="C84:N84" si="114">C3+C30+C57</f>
        <v>31</v>
      </c>
      <c r="D84" s="292">
        <f t="shared" si="114"/>
        <v>31</v>
      </c>
      <c r="E84" s="292">
        <f t="shared" si="114"/>
        <v>30</v>
      </c>
      <c r="F84" s="292">
        <f t="shared" si="114"/>
        <v>31</v>
      </c>
      <c r="G84" s="292">
        <f t="shared" si="114"/>
        <v>29</v>
      </c>
      <c r="H84" s="292">
        <f t="shared" si="114"/>
        <v>30</v>
      </c>
      <c r="I84" s="292">
        <f t="shared" si="114"/>
        <v>0</v>
      </c>
      <c r="J84" s="292">
        <f t="shared" si="114"/>
        <v>0</v>
      </c>
      <c r="K84" s="292">
        <f t="shared" si="114"/>
        <v>0</v>
      </c>
      <c r="L84" s="292">
        <f t="shared" si="114"/>
        <v>0</v>
      </c>
      <c r="M84" s="292">
        <f t="shared" si="114"/>
        <v>0</v>
      </c>
      <c r="N84" s="292">
        <f t="shared" si="114"/>
        <v>0</v>
      </c>
      <c r="O84" s="293">
        <f>C84+D84+E84</f>
        <v>92</v>
      </c>
      <c r="P84" s="293">
        <f>F84+G84+H84</f>
        <v>90</v>
      </c>
      <c r="Q84" s="293">
        <f>I84+J84+K84</f>
        <v>0</v>
      </c>
      <c r="R84" s="293">
        <f>L84+M84+N84</f>
        <v>0</v>
      </c>
      <c r="S84" s="285">
        <f>SUM(C84:N84)</f>
        <v>182</v>
      </c>
      <c r="T84" s="145"/>
      <c r="U84" s="162"/>
    </row>
    <row r="85" spans="1:41" s="189" customFormat="1" ht="24" customHeight="1">
      <c r="A85" s="1097"/>
      <c r="B85" s="262" t="s">
        <v>336</v>
      </c>
      <c r="C85" s="336">
        <f>'3b-RM Report Data'!J102-'3b-RM Report Data'!J107</f>
        <v>31</v>
      </c>
      <c r="D85" s="336">
        <f>'3b-RM Report Data'!Q102-'3b-RM Report Data'!Q107</f>
        <v>31</v>
      </c>
      <c r="E85" s="336">
        <f>'3b-RM Report Data'!X102-'3b-RM Report Data'!X107</f>
        <v>31</v>
      </c>
      <c r="F85" s="336">
        <f>'3b-RM Report Data'!AE102-'3b-RM Report Data'!AE107</f>
        <v>31</v>
      </c>
      <c r="G85" s="336">
        <f>'3b-RM Report Data'!AL102-'3b-RM Report Data'!AL107</f>
        <v>31</v>
      </c>
      <c r="H85" s="336">
        <f>'3b-RM Report Data'!AS102-'3b-RM Report Data'!AS107</f>
        <v>31</v>
      </c>
      <c r="I85" s="336">
        <f>'3b-RM Report Data'!AZ102-'3b-RM Report Data'!AZ107</f>
        <v>31</v>
      </c>
      <c r="J85" s="336">
        <f>'3b-RM Report Data'!BG102-'3b-RM Report Data'!BG107</f>
        <v>31</v>
      </c>
      <c r="K85" s="336">
        <f>'3b-RM Report Data'!BN102-'3b-RM Report Data'!BN107</f>
        <v>31</v>
      </c>
      <c r="L85" s="336">
        <f>'3b-RM Report Data'!BU102-'3b-RM Report Data'!BU107</f>
        <v>31</v>
      </c>
      <c r="M85" s="336">
        <f>'3b-RM Report Data'!CB102-'3b-RM Report Data'!CB107</f>
        <v>31</v>
      </c>
      <c r="N85" s="336">
        <f>'3b-RM Report Data'!CI102-'3b-RM Report Data'!CI107</f>
        <v>31</v>
      </c>
      <c r="O85" s="254">
        <f>MAX(C85,D85,E85)</f>
        <v>31</v>
      </c>
      <c r="P85" s="254">
        <f>MAX(F85,G85,H85)</f>
        <v>31</v>
      </c>
      <c r="Q85" s="254">
        <f>MAX(I85,J85,K85)</f>
        <v>31</v>
      </c>
      <c r="R85" s="254">
        <f>MAX(L85,M85,N85)</f>
        <v>31</v>
      </c>
      <c r="S85" s="263">
        <f>MAX(C85:N85)</f>
        <v>31</v>
      </c>
      <c r="T85" s="173">
        <f>S85</f>
        <v>31</v>
      </c>
      <c r="U85" s="167"/>
    </row>
    <row r="86" spans="1:41" s="189" customFormat="1" ht="24" customHeight="1">
      <c r="A86" s="1098" t="s">
        <v>297</v>
      </c>
      <c r="B86" s="256" t="s">
        <v>337</v>
      </c>
      <c r="C86" s="337">
        <f>'3b-RM Report Data'!J103-'3b-RM Report Data'!J108</f>
        <v>37</v>
      </c>
      <c r="D86" s="337">
        <f>'3b-RM Report Data'!Q103-'3b-RM Report Data'!Q108</f>
        <v>37</v>
      </c>
      <c r="E86" s="337">
        <f>'3b-RM Report Data'!X103-'3b-RM Report Data'!X108</f>
        <v>37</v>
      </c>
      <c r="F86" s="337">
        <f>'3b-RM Report Data'!AE103-'3b-RM Report Data'!AE108</f>
        <v>37</v>
      </c>
      <c r="G86" s="337">
        <f>'3b-RM Report Data'!AL103-'3b-RM Report Data'!AL108</f>
        <v>37</v>
      </c>
      <c r="H86" s="337">
        <f>'3b-RM Report Data'!AS103-'3b-RM Report Data'!AS108</f>
        <v>37</v>
      </c>
      <c r="I86" s="337">
        <f>'3b-RM Report Data'!AZ103-'3b-RM Report Data'!AZ108</f>
        <v>37</v>
      </c>
      <c r="J86" s="337">
        <f>'3b-RM Report Data'!BG103-'3b-RM Report Data'!BG108</f>
        <v>37</v>
      </c>
      <c r="K86" s="337">
        <f>'3b-RM Report Data'!BN103-'3b-RM Report Data'!BN108</f>
        <v>37</v>
      </c>
      <c r="L86" s="337">
        <f>'3b-RM Report Data'!BU103-'3b-RM Report Data'!BU108</f>
        <v>37</v>
      </c>
      <c r="M86" s="337">
        <f>'3b-RM Report Data'!CB103-'3b-RM Report Data'!CB108</f>
        <v>37</v>
      </c>
      <c r="N86" s="337">
        <f>'3b-RM Report Data'!CI103-'3b-RM Report Data'!CI108</f>
        <v>37</v>
      </c>
      <c r="O86" s="254">
        <f t="shared" ref="O86:O87" si="115">MAX(C86,D86,E86)</f>
        <v>37</v>
      </c>
      <c r="P86" s="254">
        <f t="shared" ref="P86:P87" si="116">MAX(F86,G86,H86)</f>
        <v>37</v>
      </c>
      <c r="Q86" s="254">
        <f t="shared" ref="Q86:Q87" si="117">MAX(I86,J86,K86)</f>
        <v>37</v>
      </c>
      <c r="R86" s="254">
        <f t="shared" ref="R86:R87" si="118">MAX(L86,M86,N86)</f>
        <v>37</v>
      </c>
      <c r="S86" s="263">
        <f t="shared" ref="S86:S87" si="119">MAX(C86:N86)</f>
        <v>37</v>
      </c>
      <c r="T86" s="264"/>
      <c r="U86" s="167"/>
    </row>
    <row r="87" spans="1:41" s="189" customFormat="1" ht="21.75" customHeight="1" thickBot="1">
      <c r="A87" s="1099"/>
      <c r="B87" s="257" t="s">
        <v>244</v>
      </c>
      <c r="C87" s="331">
        <f>'3b-RM Report Data'!J104</f>
        <v>34</v>
      </c>
      <c r="D87" s="331">
        <f>'3b-RM Report Data'!Q104</f>
        <v>34</v>
      </c>
      <c r="E87" s="331">
        <f>'3b-RM Report Data'!X104</f>
        <v>34</v>
      </c>
      <c r="F87" s="331">
        <f>'3b-RM Report Data'!AE104</f>
        <v>34</v>
      </c>
      <c r="G87" s="331">
        <f>'3b-RM Report Data'!AL104</f>
        <v>34</v>
      </c>
      <c r="H87" s="331">
        <f>'3b-RM Report Data'!AS104</f>
        <v>34</v>
      </c>
      <c r="I87" s="331">
        <f>'3b-RM Report Data'!AZ104</f>
        <v>34</v>
      </c>
      <c r="J87" s="331">
        <f>'3b-RM Report Data'!BG104</f>
        <v>34</v>
      </c>
      <c r="K87" s="331">
        <f>'3b-RM Report Data'!BN104</f>
        <v>34</v>
      </c>
      <c r="L87" s="331">
        <f>'3b-RM Report Data'!BU104</f>
        <v>34</v>
      </c>
      <c r="M87" s="331">
        <f>'3b-RM Report Data'!CB104</f>
        <v>34</v>
      </c>
      <c r="N87" s="331">
        <f>'3b-RM Report Data'!CI104</f>
        <v>34</v>
      </c>
      <c r="O87" s="255">
        <f t="shared" si="115"/>
        <v>34</v>
      </c>
      <c r="P87" s="255">
        <f t="shared" si="116"/>
        <v>34</v>
      </c>
      <c r="Q87" s="255">
        <f t="shared" si="117"/>
        <v>34</v>
      </c>
      <c r="R87" s="255">
        <f t="shared" si="118"/>
        <v>34</v>
      </c>
      <c r="S87" s="319">
        <f t="shared" si="119"/>
        <v>34</v>
      </c>
      <c r="T87" s="179">
        <f>S87</f>
        <v>34</v>
      </c>
      <c r="U87" s="167"/>
    </row>
    <row r="88" spans="1:41" s="189" customFormat="1" ht="16.5" customHeight="1">
      <c r="A88" s="1091" t="s">
        <v>248</v>
      </c>
      <c r="B88" s="178" t="s">
        <v>190</v>
      </c>
      <c r="C88" s="180">
        <f t="shared" ref="C88:N88" si="120">C5+C32+C59</f>
        <v>3973.5699999999997</v>
      </c>
      <c r="D88" s="180">
        <f t="shared" si="120"/>
        <v>4128.92</v>
      </c>
      <c r="E88" s="180">
        <f t="shared" si="120"/>
        <v>3614.66</v>
      </c>
      <c r="F88" s="180">
        <f t="shared" si="120"/>
        <v>4213.9800000000005</v>
      </c>
      <c r="G88" s="180">
        <f t="shared" si="120"/>
        <v>3471.3</v>
      </c>
      <c r="H88" s="180">
        <f t="shared" si="120"/>
        <v>3480.4299999999994</v>
      </c>
      <c r="I88" s="180">
        <f t="shared" si="120"/>
        <v>0</v>
      </c>
      <c r="J88" s="180">
        <f t="shared" si="120"/>
        <v>0</v>
      </c>
      <c r="K88" s="180">
        <f t="shared" si="120"/>
        <v>0</v>
      </c>
      <c r="L88" s="180">
        <f t="shared" si="120"/>
        <v>0</v>
      </c>
      <c r="M88" s="180">
        <f t="shared" si="120"/>
        <v>0</v>
      </c>
      <c r="N88" s="180">
        <f t="shared" si="120"/>
        <v>0</v>
      </c>
      <c r="O88" s="266">
        <f>C88+D88+E88</f>
        <v>11717.15</v>
      </c>
      <c r="P88" s="266">
        <f>F88+G88+H88</f>
        <v>11165.71</v>
      </c>
      <c r="Q88" s="266">
        <f>I88+J88+K88</f>
        <v>0</v>
      </c>
      <c r="R88" s="266">
        <f>L88+M88+N88</f>
        <v>0</v>
      </c>
      <c r="S88" s="181">
        <f t="shared" ref="S88:S89" si="121">SUM(C88:N88)</f>
        <v>22882.86</v>
      </c>
      <c r="T88" s="182"/>
      <c r="U88" s="188"/>
    </row>
    <row r="89" spans="1:41" s="189" customFormat="1" ht="16.5" customHeight="1">
      <c r="A89" s="1091"/>
      <c r="B89" s="177" t="s">
        <v>148</v>
      </c>
      <c r="C89" s="180">
        <f t="shared" ref="C89:N89" si="122">C6+C33+C60</f>
        <v>2562</v>
      </c>
      <c r="D89" s="180">
        <f t="shared" si="122"/>
        <v>2438</v>
      </c>
      <c r="E89" s="180">
        <f t="shared" si="122"/>
        <v>2299</v>
      </c>
      <c r="F89" s="180">
        <f t="shared" si="122"/>
        <v>2394</v>
      </c>
      <c r="G89" s="180">
        <f t="shared" si="122"/>
        <v>2118</v>
      </c>
      <c r="H89" s="180">
        <f t="shared" si="122"/>
        <v>2084</v>
      </c>
      <c r="I89" s="180">
        <f t="shared" si="122"/>
        <v>0</v>
      </c>
      <c r="J89" s="180">
        <f t="shared" si="122"/>
        <v>0</v>
      </c>
      <c r="K89" s="180">
        <f t="shared" si="122"/>
        <v>0</v>
      </c>
      <c r="L89" s="180">
        <f t="shared" si="122"/>
        <v>0</v>
      </c>
      <c r="M89" s="180">
        <f t="shared" si="122"/>
        <v>0</v>
      </c>
      <c r="N89" s="180">
        <f t="shared" si="122"/>
        <v>0</v>
      </c>
      <c r="O89" s="231">
        <f>C89+D89+E89</f>
        <v>7299</v>
      </c>
      <c r="P89" s="231">
        <f>F89+G89+H89</f>
        <v>6596</v>
      </c>
      <c r="Q89" s="231">
        <f>I89+J89+K89</f>
        <v>0</v>
      </c>
      <c r="R89" s="231">
        <f>L89+M89+N89</f>
        <v>0</v>
      </c>
      <c r="S89" s="181">
        <f t="shared" si="121"/>
        <v>13895</v>
      </c>
      <c r="T89" s="183"/>
      <c r="U89" s="188"/>
    </row>
    <row r="90" spans="1:41" s="189" customFormat="1" ht="16.5" customHeight="1" thickBot="1">
      <c r="A90" s="1092"/>
      <c r="B90" s="287" t="s">
        <v>45</v>
      </c>
      <c r="C90" s="288">
        <f>C88+C89</f>
        <v>6535.57</v>
      </c>
      <c r="D90" s="288">
        <f t="shared" ref="D90:N90" si="123">D88+D89</f>
        <v>6566.92</v>
      </c>
      <c r="E90" s="288">
        <f t="shared" si="123"/>
        <v>5913.66</v>
      </c>
      <c r="F90" s="288">
        <f t="shared" si="123"/>
        <v>6607.9800000000005</v>
      </c>
      <c r="G90" s="288">
        <f t="shared" si="123"/>
        <v>5589.3</v>
      </c>
      <c r="H90" s="288">
        <f t="shared" si="123"/>
        <v>5564.4299999999994</v>
      </c>
      <c r="I90" s="288">
        <f t="shared" si="123"/>
        <v>0</v>
      </c>
      <c r="J90" s="288">
        <f t="shared" si="123"/>
        <v>0</v>
      </c>
      <c r="K90" s="288">
        <f t="shared" si="123"/>
        <v>0</v>
      </c>
      <c r="L90" s="288">
        <f t="shared" si="123"/>
        <v>0</v>
      </c>
      <c r="M90" s="288">
        <f t="shared" si="123"/>
        <v>0</v>
      </c>
      <c r="N90" s="288">
        <f t="shared" si="123"/>
        <v>0</v>
      </c>
      <c r="O90" s="316">
        <f>O88+O89</f>
        <v>19016.150000000001</v>
      </c>
      <c r="P90" s="316">
        <f t="shared" ref="P90" si="124">P88+P89</f>
        <v>17761.71</v>
      </c>
      <c r="Q90" s="316">
        <f t="shared" ref="Q90" si="125">Q88+Q89</f>
        <v>0</v>
      </c>
      <c r="R90" s="316">
        <f t="shared" ref="R90" si="126">R88+R89</f>
        <v>0</v>
      </c>
      <c r="S90" s="288">
        <f t="shared" ref="S90" si="127">S88+S89</f>
        <v>36777.86</v>
      </c>
      <c r="T90" s="173">
        <f>IFERROR(S90/$S$3,0)</f>
        <v>282.90661538461541</v>
      </c>
      <c r="U90" s="167"/>
    </row>
    <row r="91" spans="1:41" s="189" customFormat="1" ht="16.5" customHeight="1">
      <c r="A91" s="1090" t="s">
        <v>245</v>
      </c>
      <c r="B91" s="184" t="s">
        <v>190</v>
      </c>
      <c r="C91" s="185">
        <f t="shared" ref="C91:N91" si="128">C8+C35+C62</f>
        <v>67334</v>
      </c>
      <c r="D91" s="185">
        <f t="shared" si="128"/>
        <v>71281</v>
      </c>
      <c r="E91" s="185">
        <f t="shared" si="128"/>
        <v>63223</v>
      </c>
      <c r="F91" s="185">
        <f t="shared" si="128"/>
        <v>74214</v>
      </c>
      <c r="G91" s="185">
        <f t="shared" si="128"/>
        <v>59248</v>
      </c>
      <c r="H91" s="185">
        <f t="shared" si="128"/>
        <v>59457</v>
      </c>
      <c r="I91" s="185">
        <f t="shared" si="128"/>
        <v>0</v>
      </c>
      <c r="J91" s="185">
        <f t="shared" si="128"/>
        <v>0</v>
      </c>
      <c r="K91" s="185">
        <f t="shared" si="128"/>
        <v>0</v>
      </c>
      <c r="L91" s="185">
        <f t="shared" si="128"/>
        <v>0</v>
      </c>
      <c r="M91" s="185">
        <f t="shared" si="128"/>
        <v>0</v>
      </c>
      <c r="N91" s="185">
        <f t="shared" si="128"/>
        <v>0</v>
      </c>
      <c r="O91" s="231">
        <f>C91+D91+E91</f>
        <v>201838</v>
      </c>
      <c r="P91" s="231">
        <f>F91+G91+H91</f>
        <v>192919</v>
      </c>
      <c r="Q91" s="231">
        <f>I91+J91+K91</f>
        <v>0</v>
      </c>
      <c r="R91" s="231">
        <f>L91+M91+N91</f>
        <v>0</v>
      </c>
      <c r="S91" s="186">
        <f t="shared" ref="S91:S92" si="129">SUM(C91:N91)</f>
        <v>394757</v>
      </c>
      <c r="T91" s="182"/>
      <c r="U91" s="188"/>
    </row>
    <row r="92" spans="1:41" s="189" customFormat="1" ht="16.5" customHeight="1">
      <c r="A92" s="1091"/>
      <c r="B92" s="177" t="s">
        <v>148</v>
      </c>
      <c r="C92" s="180">
        <f t="shared" ref="C92:N92" si="130">C9+C36+C63</f>
        <v>41916</v>
      </c>
      <c r="D92" s="180">
        <f t="shared" si="130"/>
        <v>41237</v>
      </c>
      <c r="E92" s="180">
        <f t="shared" si="130"/>
        <v>39284</v>
      </c>
      <c r="F92" s="180">
        <f t="shared" si="130"/>
        <v>41746</v>
      </c>
      <c r="G92" s="180">
        <f t="shared" si="130"/>
        <v>35546</v>
      </c>
      <c r="H92" s="180">
        <f t="shared" si="130"/>
        <v>34973</v>
      </c>
      <c r="I92" s="180">
        <f t="shared" si="130"/>
        <v>0</v>
      </c>
      <c r="J92" s="180">
        <f t="shared" si="130"/>
        <v>0</v>
      </c>
      <c r="K92" s="180">
        <f t="shared" si="130"/>
        <v>0</v>
      </c>
      <c r="L92" s="180">
        <f t="shared" si="130"/>
        <v>0</v>
      </c>
      <c r="M92" s="180">
        <f t="shared" si="130"/>
        <v>0</v>
      </c>
      <c r="N92" s="180">
        <f t="shared" si="130"/>
        <v>0</v>
      </c>
      <c r="O92" s="249">
        <f>C92+D92+E92</f>
        <v>122437</v>
      </c>
      <c r="P92" s="249">
        <f>F92+G92+H92</f>
        <v>112265</v>
      </c>
      <c r="Q92" s="249">
        <f>I92+J92+K92</f>
        <v>0</v>
      </c>
      <c r="R92" s="249">
        <f>L92+M92+N92</f>
        <v>0</v>
      </c>
      <c r="S92" s="181">
        <f t="shared" si="129"/>
        <v>234702</v>
      </c>
      <c r="T92" s="183"/>
      <c r="U92" s="188"/>
    </row>
    <row r="93" spans="1:41" s="189" customFormat="1" ht="16.5" customHeight="1" thickBot="1">
      <c r="A93" s="1092"/>
      <c r="B93" s="287" t="s">
        <v>46</v>
      </c>
      <c r="C93" s="288">
        <f>C91+C92</f>
        <v>109250</v>
      </c>
      <c r="D93" s="288">
        <f t="shared" ref="D93" si="131">D91+D92</f>
        <v>112518</v>
      </c>
      <c r="E93" s="288">
        <f t="shared" ref="E93" si="132">E91+E92</f>
        <v>102507</v>
      </c>
      <c r="F93" s="288">
        <f t="shared" ref="F93" si="133">F91+F92</f>
        <v>115960</v>
      </c>
      <c r="G93" s="288">
        <f t="shared" ref="G93" si="134">G91+G92</f>
        <v>94794</v>
      </c>
      <c r="H93" s="288">
        <f t="shared" ref="H93" si="135">H91+H92</f>
        <v>94430</v>
      </c>
      <c r="I93" s="288">
        <f t="shared" ref="I93" si="136">I91+I92</f>
        <v>0</v>
      </c>
      <c r="J93" s="288">
        <f t="shared" ref="J93" si="137">J91+J92</f>
        <v>0</v>
      </c>
      <c r="K93" s="288">
        <f t="shared" ref="K93" si="138">K91+K92</f>
        <v>0</v>
      </c>
      <c r="L93" s="288">
        <f t="shared" ref="L93" si="139">L91+L92</f>
        <v>0</v>
      </c>
      <c r="M93" s="288">
        <f t="shared" ref="M93" si="140">M91+M92</f>
        <v>0</v>
      </c>
      <c r="N93" s="288">
        <f t="shared" ref="N93" si="141">N91+N92</f>
        <v>0</v>
      </c>
      <c r="O93" s="316">
        <f>O91+O92</f>
        <v>324275</v>
      </c>
      <c r="P93" s="316">
        <f t="shared" ref="P93" si="142">P91+P92</f>
        <v>305184</v>
      </c>
      <c r="Q93" s="316">
        <f t="shared" ref="Q93" si="143">Q91+Q92</f>
        <v>0</v>
      </c>
      <c r="R93" s="316">
        <f t="shared" ref="R93" si="144">R91+R92</f>
        <v>0</v>
      </c>
      <c r="S93" s="288">
        <f t="shared" ref="S93" si="145">S91+S92</f>
        <v>629459</v>
      </c>
      <c r="T93" s="173">
        <f>IFERROR(S93/$S$3,0)</f>
        <v>4841.9923076923078</v>
      </c>
      <c r="U93" s="167"/>
    </row>
    <row r="94" spans="1:41" s="189" customFormat="1" ht="16.5" customHeight="1">
      <c r="A94" s="1093" t="s">
        <v>249</v>
      </c>
      <c r="B94" s="184" t="s">
        <v>190</v>
      </c>
      <c r="C94" s="185">
        <f t="shared" ref="C94:N94" si="146">C11+C38+C65</f>
        <v>2971.3999999999996</v>
      </c>
      <c r="D94" s="185">
        <f t="shared" si="146"/>
        <v>3157.1499999999996</v>
      </c>
      <c r="E94" s="185">
        <f t="shared" si="146"/>
        <v>2839.12</v>
      </c>
      <c r="F94" s="185">
        <f t="shared" si="146"/>
        <v>3324.1800000000003</v>
      </c>
      <c r="G94" s="185">
        <f t="shared" si="146"/>
        <v>2644.2</v>
      </c>
      <c r="H94" s="185">
        <f t="shared" si="146"/>
        <v>2653.67</v>
      </c>
      <c r="I94" s="185">
        <f t="shared" si="146"/>
        <v>0</v>
      </c>
      <c r="J94" s="185">
        <f t="shared" si="146"/>
        <v>0</v>
      </c>
      <c r="K94" s="185">
        <f t="shared" si="146"/>
        <v>0</v>
      </c>
      <c r="L94" s="185">
        <f t="shared" si="146"/>
        <v>0</v>
      </c>
      <c r="M94" s="185">
        <f t="shared" si="146"/>
        <v>0</v>
      </c>
      <c r="N94" s="185">
        <f t="shared" si="146"/>
        <v>0</v>
      </c>
      <c r="O94" s="231">
        <f>C94+D94+E94</f>
        <v>8967.6699999999983</v>
      </c>
      <c r="P94" s="231">
        <f>F94+G94+H94</f>
        <v>8622.0499999999993</v>
      </c>
      <c r="Q94" s="231">
        <f>I94+J94+K94</f>
        <v>0</v>
      </c>
      <c r="R94" s="231">
        <f>L94+M94+N94</f>
        <v>0</v>
      </c>
      <c r="S94" s="186">
        <f t="shared" ref="S94:S95" si="147">SUM(C94:N94)</f>
        <v>17589.72</v>
      </c>
      <c r="T94" s="187"/>
      <c r="U94" s="188"/>
    </row>
    <row r="95" spans="1:41" s="189" customFormat="1" ht="16.5" customHeight="1">
      <c r="A95" s="1094"/>
      <c r="B95" s="177" t="s">
        <v>148</v>
      </c>
      <c r="C95" s="180">
        <f t="shared" ref="C95:N95" si="148">C12+C39+C66</f>
        <v>1875</v>
      </c>
      <c r="D95" s="180">
        <f t="shared" si="148"/>
        <v>1862</v>
      </c>
      <c r="E95" s="180">
        <f t="shared" si="148"/>
        <v>1754</v>
      </c>
      <c r="F95" s="180">
        <f t="shared" si="148"/>
        <v>1873</v>
      </c>
      <c r="G95" s="180">
        <f t="shared" si="148"/>
        <v>1551</v>
      </c>
      <c r="H95" s="180">
        <f t="shared" si="148"/>
        <v>1555</v>
      </c>
      <c r="I95" s="180">
        <f t="shared" si="148"/>
        <v>0</v>
      </c>
      <c r="J95" s="180">
        <f t="shared" si="148"/>
        <v>0</v>
      </c>
      <c r="K95" s="180">
        <f t="shared" si="148"/>
        <v>0</v>
      </c>
      <c r="L95" s="180">
        <f t="shared" si="148"/>
        <v>0</v>
      </c>
      <c r="M95" s="180">
        <f t="shared" si="148"/>
        <v>0</v>
      </c>
      <c r="N95" s="180">
        <f t="shared" si="148"/>
        <v>0</v>
      </c>
      <c r="O95" s="231">
        <f>C95+D95+E95</f>
        <v>5491</v>
      </c>
      <c r="P95" s="231">
        <f>F95+G95+H95</f>
        <v>4979</v>
      </c>
      <c r="Q95" s="231">
        <f>I95+J95+K95</f>
        <v>0</v>
      </c>
      <c r="R95" s="231">
        <f>L95+M95+N95</f>
        <v>0</v>
      </c>
      <c r="S95" s="181">
        <f t="shared" si="147"/>
        <v>10470</v>
      </c>
      <c r="T95" s="183"/>
      <c r="U95" s="188"/>
    </row>
    <row r="96" spans="1:41" s="190" customFormat="1" ht="16.5" customHeight="1" thickBot="1">
      <c r="A96" s="1095"/>
      <c r="B96" s="287" t="s">
        <v>109</v>
      </c>
      <c r="C96" s="288">
        <f>C94+C95</f>
        <v>4846.3999999999996</v>
      </c>
      <c r="D96" s="288">
        <f t="shared" ref="D96:S96" si="149">D94+D95</f>
        <v>5019.1499999999996</v>
      </c>
      <c r="E96" s="288">
        <f t="shared" si="149"/>
        <v>4593.12</v>
      </c>
      <c r="F96" s="288">
        <f t="shared" si="149"/>
        <v>5197.18</v>
      </c>
      <c r="G96" s="288">
        <f t="shared" si="149"/>
        <v>4195.2</v>
      </c>
      <c r="H96" s="288">
        <f t="shared" si="149"/>
        <v>4208.67</v>
      </c>
      <c r="I96" s="288">
        <f t="shared" si="149"/>
        <v>0</v>
      </c>
      <c r="J96" s="288">
        <f t="shared" si="149"/>
        <v>0</v>
      </c>
      <c r="K96" s="288">
        <f t="shared" si="149"/>
        <v>0</v>
      </c>
      <c r="L96" s="288">
        <f t="shared" si="149"/>
        <v>0</v>
      </c>
      <c r="M96" s="288">
        <f t="shared" si="149"/>
        <v>0</v>
      </c>
      <c r="N96" s="288">
        <f t="shared" si="149"/>
        <v>0</v>
      </c>
      <c r="O96" s="316">
        <f>O94+O95</f>
        <v>14458.669999999998</v>
      </c>
      <c r="P96" s="316">
        <f t="shared" ref="P96" si="150">P94+P95</f>
        <v>13601.05</v>
      </c>
      <c r="Q96" s="316">
        <f t="shared" ref="Q96" si="151">Q94+Q95</f>
        <v>0</v>
      </c>
      <c r="R96" s="316">
        <f t="shared" ref="R96" si="152">R94+R95</f>
        <v>0</v>
      </c>
      <c r="S96" s="288">
        <f t="shared" si="149"/>
        <v>28059.72</v>
      </c>
      <c r="T96" s="173">
        <f>IFERROR(S96/$S$3,0)</f>
        <v>215.84400000000002</v>
      </c>
      <c r="U96" s="162"/>
    </row>
    <row r="97" spans="1:21" s="190" customFormat="1" ht="16.5" customHeight="1">
      <c r="A97" s="1093" t="s">
        <v>246</v>
      </c>
      <c r="B97" s="178" t="s">
        <v>190</v>
      </c>
      <c r="C97" s="180">
        <f t="shared" ref="C97:N97" si="153">C14+C41+C68</f>
        <v>53188</v>
      </c>
      <c r="D97" s="180">
        <f t="shared" si="153"/>
        <v>57059</v>
      </c>
      <c r="E97" s="180">
        <f t="shared" si="153"/>
        <v>51665</v>
      </c>
      <c r="F97" s="180">
        <f t="shared" si="153"/>
        <v>60562</v>
      </c>
      <c r="G97" s="180">
        <f t="shared" si="153"/>
        <v>47220</v>
      </c>
      <c r="H97" s="180">
        <f t="shared" si="153"/>
        <v>47514</v>
      </c>
      <c r="I97" s="180">
        <f t="shared" si="153"/>
        <v>0</v>
      </c>
      <c r="J97" s="180">
        <f t="shared" si="153"/>
        <v>0</v>
      </c>
      <c r="K97" s="180">
        <f t="shared" si="153"/>
        <v>0</v>
      </c>
      <c r="L97" s="180">
        <f t="shared" si="153"/>
        <v>0</v>
      </c>
      <c r="M97" s="180">
        <f t="shared" si="153"/>
        <v>0</v>
      </c>
      <c r="N97" s="180">
        <f t="shared" si="153"/>
        <v>0</v>
      </c>
      <c r="O97" s="231">
        <f>C97+D97+E97</f>
        <v>161912</v>
      </c>
      <c r="P97" s="231">
        <f>F97+G97+H97</f>
        <v>155296</v>
      </c>
      <c r="Q97" s="231">
        <f>I97+J97+K97</f>
        <v>0</v>
      </c>
      <c r="R97" s="231">
        <f>L97+M97+N97</f>
        <v>0</v>
      </c>
      <c r="S97" s="181">
        <f t="shared" ref="S97:S98" si="154">SUM(C97:N97)</f>
        <v>317208</v>
      </c>
      <c r="T97" s="182"/>
      <c r="U97" s="165"/>
    </row>
    <row r="98" spans="1:21" s="190" customFormat="1" ht="16.5" customHeight="1">
      <c r="A98" s="1094"/>
      <c r="B98" s="177" t="s">
        <v>148</v>
      </c>
      <c r="C98" s="180">
        <f t="shared" ref="C98:N98" si="155">C15+C42+C69</f>
        <v>32880</v>
      </c>
      <c r="D98" s="180">
        <f t="shared" si="155"/>
        <v>32824</v>
      </c>
      <c r="E98" s="180">
        <f t="shared" si="155"/>
        <v>31505</v>
      </c>
      <c r="F98" s="180">
        <f t="shared" si="155"/>
        <v>33528</v>
      </c>
      <c r="G98" s="180">
        <f t="shared" si="155"/>
        <v>27536</v>
      </c>
      <c r="H98" s="180">
        <f t="shared" si="155"/>
        <v>27562</v>
      </c>
      <c r="I98" s="180">
        <f t="shared" si="155"/>
        <v>0</v>
      </c>
      <c r="J98" s="180">
        <f t="shared" si="155"/>
        <v>0</v>
      </c>
      <c r="K98" s="180">
        <f t="shared" si="155"/>
        <v>0</v>
      </c>
      <c r="L98" s="180">
        <f t="shared" si="155"/>
        <v>0</v>
      </c>
      <c r="M98" s="180">
        <f t="shared" si="155"/>
        <v>0</v>
      </c>
      <c r="N98" s="180">
        <f t="shared" si="155"/>
        <v>0</v>
      </c>
      <c r="O98" s="231">
        <f>C98+D98+E98</f>
        <v>97209</v>
      </c>
      <c r="P98" s="231">
        <f>F98+G98+H98</f>
        <v>88626</v>
      </c>
      <c r="Q98" s="231">
        <f>I98+J98+K98</f>
        <v>0</v>
      </c>
      <c r="R98" s="231">
        <f>L98+M98+N98</f>
        <v>0</v>
      </c>
      <c r="S98" s="181">
        <f t="shared" si="154"/>
        <v>185835</v>
      </c>
      <c r="T98" s="183"/>
      <c r="U98" s="165"/>
    </row>
    <row r="99" spans="1:21" s="190" customFormat="1" ht="16.5" customHeight="1" thickBot="1">
      <c r="A99" s="1095"/>
      <c r="B99" s="287" t="s">
        <v>47</v>
      </c>
      <c r="C99" s="288">
        <f t="shared" ref="C99:D99" si="156">C97+C98</f>
        <v>86068</v>
      </c>
      <c r="D99" s="288">
        <f t="shared" si="156"/>
        <v>89883</v>
      </c>
      <c r="E99" s="288">
        <f t="shared" ref="E99" si="157">E97+E98</f>
        <v>83170</v>
      </c>
      <c r="F99" s="288">
        <f t="shared" ref="F99" si="158">F97+F98</f>
        <v>94090</v>
      </c>
      <c r="G99" s="288">
        <f t="shared" ref="G99" si="159">G97+G98</f>
        <v>74756</v>
      </c>
      <c r="H99" s="288">
        <f t="shared" ref="H99" si="160">H97+H98</f>
        <v>75076</v>
      </c>
      <c r="I99" s="288">
        <f t="shared" ref="I99" si="161">I97+I98</f>
        <v>0</v>
      </c>
      <c r="J99" s="288">
        <f t="shared" ref="J99" si="162">J97+J98</f>
        <v>0</v>
      </c>
      <c r="K99" s="288">
        <f t="shared" ref="K99" si="163">K97+K98</f>
        <v>0</v>
      </c>
      <c r="L99" s="288">
        <f t="shared" ref="L99" si="164">L97+L98</f>
        <v>0</v>
      </c>
      <c r="M99" s="288">
        <f t="shared" ref="M99" si="165">M97+M98</f>
        <v>0</v>
      </c>
      <c r="N99" s="288">
        <f t="shared" ref="N99" si="166">N97+N98</f>
        <v>0</v>
      </c>
      <c r="O99" s="316">
        <f>O97+O98</f>
        <v>259121</v>
      </c>
      <c r="P99" s="316">
        <f t="shared" ref="P99" si="167">P97+P98</f>
        <v>243922</v>
      </c>
      <c r="Q99" s="316">
        <f t="shared" ref="Q99" si="168">Q97+Q98</f>
        <v>0</v>
      </c>
      <c r="R99" s="316">
        <f t="shared" ref="R99" si="169">R97+R98</f>
        <v>0</v>
      </c>
      <c r="S99" s="288">
        <f t="shared" ref="S99" si="170">S97+S98</f>
        <v>503043</v>
      </c>
      <c r="T99" s="173">
        <f>IFERROR(S99/$S$3,0)</f>
        <v>3869.5615384615385</v>
      </c>
      <c r="U99" s="162"/>
    </row>
    <row r="100" spans="1:21" s="190" customFormat="1" ht="16.5" customHeight="1">
      <c r="A100" s="1090" t="s">
        <v>251</v>
      </c>
      <c r="B100" s="184" t="s">
        <v>190</v>
      </c>
      <c r="C100" s="185">
        <f t="shared" ref="C100:N100" si="171">C17+C44+C71</f>
        <v>63404</v>
      </c>
      <c r="D100" s="185">
        <f t="shared" si="171"/>
        <v>67790</v>
      </c>
      <c r="E100" s="185">
        <f t="shared" si="171"/>
        <v>63635</v>
      </c>
      <c r="F100" s="185">
        <f t="shared" si="171"/>
        <v>73597</v>
      </c>
      <c r="G100" s="185">
        <f t="shared" si="171"/>
        <v>59241</v>
      </c>
      <c r="H100" s="185">
        <f t="shared" si="171"/>
        <v>58581</v>
      </c>
      <c r="I100" s="185">
        <f t="shared" si="171"/>
        <v>0</v>
      </c>
      <c r="J100" s="185">
        <f t="shared" si="171"/>
        <v>0</v>
      </c>
      <c r="K100" s="185">
        <f t="shared" si="171"/>
        <v>0</v>
      </c>
      <c r="L100" s="185">
        <f t="shared" si="171"/>
        <v>0</v>
      </c>
      <c r="M100" s="185">
        <f t="shared" si="171"/>
        <v>0</v>
      </c>
      <c r="N100" s="185">
        <f t="shared" si="171"/>
        <v>0</v>
      </c>
      <c r="O100" s="231">
        <f>C100+D100+E100</f>
        <v>194829</v>
      </c>
      <c r="P100" s="231">
        <f>F100+G100+H100</f>
        <v>191419</v>
      </c>
      <c r="Q100" s="231">
        <f>I100+J100+K100</f>
        <v>0</v>
      </c>
      <c r="R100" s="231">
        <f>L100+M100+N100</f>
        <v>0</v>
      </c>
      <c r="S100" s="186">
        <f t="shared" ref="S100:S101" si="172">SUM(C100:N100)</f>
        <v>386248</v>
      </c>
      <c r="T100" s="182"/>
      <c r="U100" s="165"/>
    </row>
    <row r="101" spans="1:21" s="190" customFormat="1" ht="16.5" customHeight="1">
      <c r="A101" s="1091"/>
      <c r="B101" s="177" t="s">
        <v>148</v>
      </c>
      <c r="C101" s="180">
        <f t="shared" ref="C101:N101" si="173">C18+C45+C72</f>
        <v>37645</v>
      </c>
      <c r="D101" s="180">
        <f t="shared" si="173"/>
        <v>36651</v>
      </c>
      <c r="E101" s="180">
        <f t="shared" si="173"/>
        <v>33674</v>
      </c>
      <c r="F101" s="180">
        <f t="shared" si="173"/>
        <v>38201</v>
      </c>
      <c r="G101" s="180">
        <f t="shared" si="173"/>
        <v>31159</v>
      </c>
      <c r="H101" s="180">
        <f t="shared" si="173"/>
        <v>32086</v>
      </c>
      <c r="I101" s="180">
        <f t="shared" si="173"/>
        <v>0</v>
      </c>
      <c r="J101" s="180">
        <f t="shared" si="173"/>
        <v>0</v>
      </c>
      <c r="K101" s="180">
        <f t="shared" si="173"/>
        <v>0</v>
      </c>
      <c r="L101" s="180">
        <f t="shared" si="173"/>
        <v>0</v>
      </c>
      <c r="M101" s="180">
        <f t="shared" si="173"/>
        <v>0</v>
      </c>
      <c r="N101" s="180">
        <f t="shared" si="173"/>
        <v>0</v>
      </c>
      <c r="O101" s="231">
        <f>C101+D101+E101</f>
        <v>107970</v>
      </c>
      <c r="P101" s="231">
        <f>F101+G101+H101</f>
        <v>101446</v>
      </c>
      <c r="Q101" s="231">
        <f>I101+J101+K101</f>
        <v>0</v>
      </c>
      <c r="R101" s="231">
        <f>L101+M101+N101</f>
        <v>0</v>
      </c>
      <c r="S101" s="181">
        <f t="shared" si="172"/>
        <v>209416</v>
      </c>
      <c r="T101" s="183"/>
      <c r="U101" s="165"/>
    </row>
    <row r="102" spans="1:21" s="190" customFormat="1" ht="16.5" customHeight="1" thickBot="1">
      <c r="A102" s="1092"/>
      <c r="B102" s="287" t="s">
        <v>241</v>
      </c>
      <c r="C102" s="288">
        <f t="shared" ref="C102:D102" si="174">C100+C101</f>
        <v>101049</v>
      </c>
      <c r="D102" s="288">
        <f t="shared" si="174"/>
        <v>104441</v>
      </c>
      <c r="E102" s="288">
        <f t="shared" ref="E102" si="175">E100+E101</f>
        <v>97309</v>
      </c>
      <c r="F102" s="288">
        <f t="shared" ref="F102" si="176">F100+F101</f>
        <v>111798</v>
      </c>
      <c r="G102" s="288">
        <f t="shared" ref="G102" si="177">G100+G101</f>
        <v>90400</v>
      </c>
      <c r="H102" s="288">
        <f t="shared" ref="H102" si="178">H100+H101</f>
        <v>90667</v>
      </c>
      <c r="I102" s="288">
        <f t="shared" ref="I102" si="179">I100+I101</f>
        <v>0</v>
      </c>
      <c r="J102" s="288">
        <f t="shared" ref="J102" si="180">J100+J101</f>
        <v>0</v>
      </c>
      <c r="K102" s="288">
        <f t="shared" ref="K102" si="181">K100+K101</f>
        <v>0</v>
      </c>
      <c r="L102" s="288">
        <f t="shared" ref="L102" si="182">L100+L101</f>
        <v>0</v>
      </c>
      <c r="M102" s="288">
        <f t="shared" ref="M102" si="183">M100+M101</f>
        <v>0</v>
      </c>
      <c r="N102" s="288">
        <f t="shared" ref="N102" si="184">N100+N101</f>
        <v>0</v>
      </c>
      <c r="O102" s="316">
        <f>O100+O101</f>
        <v>302799</v>
      </c>
      <c r="P102" s="316">
        <f t="shared" ref="P102" si="185">P100+P101</f>
        <v>292865</v>
      </c>
      <c r="Q102" s="316">
        <f t="shared" ref="Q102" si="186">Q100+Q101</f>
        <v>0</v>
      </c>
      <c r="R102" s="316">
        <f t="shared" ref="R102" si="187">R100+R101</f>
        <v>0</v>
      </c>
      <c r="S102" s="288">
        <f t="shared" ref="S102" si="188">S100+S101</f>
        <v>595664</v>
      </c>
      <c r="T102" s="173">
        <f>IFERROR(S102/$S$3,0)</f>
        <v>4582.0307692307688</v>
      </c>
      <c r="U102" s="162"/>
    </row>
    <row r="103" spans="1:21" s="190" customFormat="1" ht="16.5" customHeight="1">
      <c r="A103" s="1094" t="s">
        <v>260</v>
      </c>
      <c r="B103" s="178" t="s">
        <v>265</v>
      </c>
      <c r="C103" s="180">
        <f t="shared" ref="C103:N103" si="189">C20+C47+C74</f>
        <v>545</v>
      </c>
      <c r="D103" s="180">
        <f t="shared" si="189"/>
        <v>525</v>
      </c>
      <c r="E103" s="180">
        <f t="shared" si="189"/>
        <v>521</v>
      </c>
      <c r="F103" s="180">
        <f t="shared" si="189"/>
        <v>569</v>
      </c>
      <c r="G103" s="180">
        <f t="shared" si="189"/>
        <v>474</v>
      </c>
      <c r="H103" s="180">
        <f t="shared" si="189"/>
        <v>474</v>
      </c>
      <c r="I103" s="180">
        <f t="shared" si="189"/>
        <v>0</v>
      </c>
      <c r="J103" s="180">
        <f t="shared" si="189"/>
        <v>0</v>
      </c>
      <c r="K103" s="180">
        <f t="shared" si="189"/>
        <v>0</v>
      </c>
      <c r="L103" s="180">
        <f t="shared" si="189"/>
        <v>0</v>
      </c>
      <c r="M103" s="180">
        <f t="shared" si="189"/>
        <v>0</v>
      </c>
      <c r="N103" s="180">
        <f t="shared" si="189"/>
        <v>0</v>
      </c>
      <c r="O103" s="231">
        <f t="shared" ref="O103:O107" si="190">C103+D103+E103</f>
        <v>1591</v>
      </c>
      <c r="P103" s="231">
        <f t="shared" ref="P103:P107" si="191">F103+G103+H103</f>
        <v>1517</v>
      </c>
      <c r="Q103" s="231">
        <f t="shared" ref="Q103:Q107" si="192">I103+J103+K103</f>
        <v>0</v>
      </c>
      <c r="R103" s="231">
        <f t="shared" ref="R103:R107" si="193">L103+M103+N103</f>
        <v>0</v>
      </c>
      <c r="S103" s="181">
        <f t="shared" ref="S103:S107" si="194">SUM(C103:N103)</f>
        <v>3108</v>
      </c>
      <c r="T103" s="182"/>
      <c r="U103" s="162"/>
    </row>
    <row r="104" spans="1:21" s="190" customFormat="1" ht="16.5" customHeight="1">
      <c r="A104" s="1094"/>
      <c r="B104" s="177" t="s">
        <v>263</v>
      </c>
      <c r="C104" s="180">
        <f t="shared" ref="C104:N104" si="195">C21+C48+C75</f>
        <v>4067</v>
      </c>
      <c r="D104" s="180">
        <f t="shared" si="195"/>
        <v>3991</v>
      </c>
      <c r="E104" s="180">
        <f t="shared" si="195"/>
        <v>3815</v>
      </c>
      <c r="F104" s="180">
        <f t="shared" si="195"/>
        <v>4190</v>
      </c>
      <c r="G104" s="180">
        <f t="shared" si="195"/>
        <v>3423</v>
      </c>
      <c r="H104" s="180">
        <f t="shared" si="195"/>
        <v>3616</v>
      </c>
      <c r="I104" s="180">
        <f t="shared" si="195"/>
        <v>0</v>
      </c>
      <c r="J104" s="180">
        <f t="shared" si="195"/>
        <v>0</v>
      </c>
      <c r="K104" s="180">
        <f t="shared" si="195"/>
        <v>0</v>
      </c>
      <c r="L104" s="180">
        <f t="shared" si="195"/>
        <v>0</v>
      </c>
      <c r="M104" s="180">
        <f t="shared" si="195"/>
        <v>0</v>
      </c>
      <c r="N104" s="180">
        <f t="shared" si="195"/>
        <v>0</v>
      </c>
      <c r="O104" s="231">
        <f t="shared" si="190"/>
        <v>11873</v>
      </c>
      <c r="P104" s="231">
        <f t="shared" si="191"/>
        <v>11229</v>
      </c>
      <c r="Q104" s="231">
        <f t="shared" si="192"/>
        <v>0</v>
      </c>
      <c r="R104" s="231">
        <f t="shared" si="193"/>
        <v>0</v>
      </c>
      <c r="S104" s="181">
        <f t="shared" si="194"/>
        <v>23102</v>
      </c>
      <c r="T104" s="183"/>
      <c r="U104" s="162"/>
    </row>
    <row r="105" spans="1:21" s="190" customFormat="1" ht="16.5" customHeight="1">
      <c r="A105" s="1094"/>
      <c r="B105" s="289" t="s">
        <v>270</v>
      </c>
      <c r="C105" s="290">
        <f>C103+C104</f>
        <v>4612</v>
      </c>
      <c r="D105" s="290">
        <f t="shared" ref="D105:N105" si="196">D103+D104</f>
        <v>4516</v>
      </c>
      <c r="E105" s="290">
        <f t="shared" si="196"/>
        <v>4336</v>
      </c>
      <c r="F105" s="290">
        <f t="shared" si="196"/>
        <v>4759</v>
      </c>
      <c r="G105" s="290">
        <f t="shared" si="196"/>
        <v>3897</v>
      </c>
      <c r="H105" s="290">
        <f t="shared" si="196"/>
        <v>4090</v>
      </c>
      <c r="I105" s="290">
        <f t="shared" si="196"/>
        <v>0</v>
      </c>
      <c r="J105" s="290">
        <f t="shared" si="196"/>
        <v>0</v>
      </c>
      <c r="K105" s="290">
        <f t="shared" si="196"/>
        <v>0</v>
      </c>
      <c r="L105" s="290">
        <f t="shared" si="196"/>
        <v>0</v>
      </c>
      <c r="M105" s="290">
        <f t="shared" si="196"/>
        <v>0</v>
      </c>
      <c r="N105" s="290">
        <f t="shared" si="196"/>
        <v>0</v>
      </c>
      <c r="O105" s="290">
        <f t="shared" si="190"/>
        <v>13464</v>
      </c>
      <c r="P105" s="290">
        <f t="shared" si="191"/>
        <v>12746</v>
      </c>
      <c r="Q105" s="290">
        <f t="shared" si="192"/>
        <v>0</v>
      </c>
      <c r="R105" s="290">
        <f t="shared" si="193"/>
        <v>0</v>
      </c>
      <c r="S105" s="291">
        <f t="shared" si="194"/>
        <v>26210</v>
      </c>
      <c r="T105" s="145"/>
      <c r="U105" s="680">
        <f>S105+'OpStatsTotals(MBTrailblazers)'!S151</f>
        <v>44141</v>
      </c>
    </row>
    <row r="106" spans="1:21" s="190" customFormat="1" ht="16.5" customHeight="1">
      <c r="A106" s="1094"/>
      <c r="B106" s="289" t="s">
        <v>264</v>
      </c>
      <c r="C106" s="290">
        <f t="shared" ref="C106:N106" si="197">C23+C50+C77</f>
        <v>445</v>
      </c>
      <c r="D106" s="290">
        <f t="shared" si="197"/>
        <v>850</v>
      </c>
      <c r="E106" s="290">
        <f t="shared" si="197"/>
        <v>564</v>
      </c>
      <c r="F106" s="290">
        <f t="shared" si="197"/>
        <v>1008</v>
      </c>
      <c r="G106" s="290">
        <f t="shared" si="197"/>
        <v>780</v>
      </c>
      <c r="H106" s="290">
        <f t="shared" si="197"/>
        <v>579</v>
      </c>
      <c r="I106" s="290">
        <f t="shared" si="197"/>
        <v>0</v>
      </c>
      <c r="J106" s="290">
        <f t="shared" si="197"/>
        <v>0</v>
      </c>
      <c r="K106" s="290">
        <f t="shared" si="197"/>
        <v>0</v>
      </c>
      <c r="L106" s="290">
        <f t="shared" si="197"/>
        <v>0</v>
      </c>
      <c r="M106" s="290">
        <f t="shared" si="197"/>
        <v>0</v>
      </c>
      <c r="N106" s="290">
        <f t="shared" si="197"/>
        <v>0</v>
      </c>
      <c r="O106" s="290">
        <f t="shared" si="190"/>
        <v>1859</v>
      </c>
      <c r="P106" s="290">
        <f t="shared" si="191"/>
        <v>2367</v>
      </c>
      <c r="Q106" s="290">
        <f t="shared" si="192"/>
        <v>0</v>
      </c>
      <c r="R106" s="290">
        <f t="shared" si="193"/>
        <v>0</v>
      </c>
      <c r="S106" s="291">
        <f t="shared" si="194"/>
        <v>4226</v>
      </c>
      <c r="T106" s="145"/>
      <c r="U106" s="162"/>
    </row>
    <row r="107" spans="1:21" s="190" customFormat="1" ht="16.5" customHeight="1">
      <c r="A107" s="1094"/>
      <c r="B107" s="289" t="s">
        <v>266</v>
      </c>
      <c r="C107" s="290">
        <f t="shared" ref="C107:N107" si="198">C24+C51+C78</f>
        <v>5474</v>
      </c>
      <c r="D107" s="290">
        <f t="shared" si="198"/>
        <v>5632</v>
      </c>
      <c r="E107" s="290">
        <f t="shared" si="198"/>
        <v>5372</v>
      </c>
      <c r="F107" s="290">
        <f t="shared" si="198"/>
        <v>5948</v>
      </c>
      <c r="G107" s="290">
        <f t="shared" si="198"/>
        <v>4744</v>
      </c>
      <c r="H107" s="290">
        <f t="shared" si="198"/>
        <v>4961.2060000000001</v>
      </c>
      <c r="I107" s="290">
        <f t="shared" si="198"/>
        <v>0</v>
      </c>
      <c r="J107" s="290">
        <f t="shared" si="198"/>
        <v>0</v>
      </c>
      <c r="K107" s="290">
        <f t="shared" si="198"/>
        <v>0</v>
      </c>
      <c r="L107" s="290">
        <f t="shared" si="198"/>
        <v>0</v>
      </c>
      <c r="M107" s="290">
        <f t="shared" si="198"/>
        <v>0</v>
      </c>
      <c r="N107" s="290">
        <f t="shared" si="198"/>
        <v>0</v>
      </c>
      <c r="O107" s="290">
        <f t="shared" si="190"/>
        <v>16478</v>
      </c>
      <c r="P107" s="290">
        <f t="shared" si="191"/>
        <v>15653.206</v>
      </c>
      <c r="Q107" s="290">
        <f t="shared" si="192"/>
        <v>0</v>
      </c>
      <c r="R107" s="290">
        <f t="shared" si="193"/>
        <v>0</v>
      </c>
      <c r="S107" s="291">
        <f t="shared" si="194"/>
        <v>32131.205999999998</v>
      </c>
      <c r="T107" s="145"/>
      <c r="U107" s="162"/>
    </row>
    <row r="108" spans="1:21" s="190" customFormat="1" ht="16.5" customHeight="1" thickBot="1">
      <c r="A108" s="1095"/>
      <c r="B108" s="287" t="s">
        <v>269</v>
      </c>
      <c r="C108" s="288">
        <f>SUM(C105:C107)</f>
        <v>10531</v>
      </c>
      <c r="D108" s="288">
        <f t="shared" ref="D108:S108" si="199">SUM(D105:D107)</f>
        <v>10998</v>
      </c>
      <c r="E108" s="288">
        <f t="shared" si="199"/>
        <v>10272</v>
      </c>
      <c r="F108" s="288">
        <f t="shared" si="199"/>
        <v>11715</v>
      </c>
      <c r="G108" s="288">
        <f t="shared" si="199"/>
        <v>9421</v>
      </c>
      <c r="H108" s="288">
        <f t="shared" si="199"/>
        <v>9630.2060000000001</v>
      </c>
      <c r="I108" s="288">
        <f t="shared" si="199"/>
        <v>0</v>
      </c>
      <c r="J108" s="288">
        <f t="shared" si="199"/>
        <v>0</v>
      </c>
      <c r="K108" s="288">
        <f t="shared" si="199"/>
        <v>0</v>
      </c>
      <c r="L108" s="288">
        <f t="shared" si="199"/>
        <v>0</v>
      </c>
      <c r="M108" s="288">
        <f t="shared" si="199"/>
        <v>0</v>
      </c>
      <c r="N108" s="288">
        <f t="shared" si="199"/>
        <v>0</v>
      </c>
      <c r="O108" s="288">
        <f t="shared" si="199"/>
        <v>31801</v>
      </c>
      <c r="P108" s="288">
        <f t="shared" si="199"/>
        <v>30766.205999999998</v>
      </c>
      <c r="Q108" s="288">
        <f t="shared" si="199"/>
        <v>0</v>
      </c>
      <c r="R108" s="288">
        <f t="shared" si="199"/>
        <v>0</v>
      </c>
      <c r="S108" s="288">
        <f t="shared" si="199"/>
        <v>62567.205999999998</v>
      </c>
      <c r="T108" s="173">
        <f>IFERROR(S108/$S$3,0)</f>
        <v>481.28620000000001</v>
      </c>
      <c r="U108" s="162"/>
    </row>
    <row r="109" spans="1:21" s="190" customFormat="1" ht="16.5" customHeight="1">
      <c r="A109" s="246" t="s">
        <v>258</v>
      </c>
      <c r="B109" s="294" t="s">
        <v>325</v>
      </c>
      <c r="C109" s="248"/>
      <c r="D109" s="248"/>
      <c r="E109" s="248"/>
      <c r="F109" s="248"/>
      <c r="G109" s="248"/>
      <c r="H109" s="248"/>
      <c r="I109" s="248"/>
      <c r="J109" s="248"/>
      <c r="K109" s="248"/>
      <c r="L109" s="248"/>
      <c r="M109" s="248"/>
      <c r="N109" s="248"/>
      <c r="O109" s="248"/>
      <c r="P109" s="248"/>
      <c r="Q109" s="248"/>
      <c r="R109" s="248"/>
      <c r="S109" s="295"/>
      <c r="T109" s="173"/>
      <c r="U109" s="162"/>
    </row>
    <row r="110" spans="1:21" s="190" customFormat="1" ht="16.5" customHeight="1">
      <c r="A110" s="1087" t="s">
        <v>268</v>
      </c>
      <c r="B110" s="312" t="s">
        <v>250</v>
      </c>
      <c r="C110" s="313">
        <f t="shared" ref="C110:N110" si="200">C90-C96</f>
        <v>1689.17</v>
      </c>
      <c r="D110" s="313">
        <f t="shared" si="200"/>
        <v>1547.7700000000004</v>
      </c>
      <c r="E110" s="313">
        <f t="shared" si="200"/>
        <v>1320.54</v>
      </c>
      <c r="F110" s="313">
        <f t="shared" si="200"/>
        <v>1410.8000000000002</v>
      </c>
      <c r="G110" s="313">
        <f t="shared" si="200"/>
        <v>1394.1000000000004</v>
      </c>
      <c r="H110" s="313">
        <f t="shared" si="200"/>
        <v>1355.7599999999993</v>
      </c>
      <c r="I110" s="313">
        <f t="shared" si="200"/>
        <v>0</v>
      </c>
      <c r="J110" s="313">
        <f t="shared" si="200"/>
        <v>0</v>
      </c>
      <c r="K110" s="313">
        <f t="shared" si="200"/>
        <v>0</v>
      </c>
      <c r="L110" s="313">
        <f t="shared" si="200"/>
        <v>0</v>
      </c>
      <c r="M110" s="313">
        <f t="shared" si="200"/>
        <v>0</v>
      </c>
      <c r="N110" s="313">
        <f t="shared" si="200"/>
        <v>0</v>
      </c>
      <c r="O110" s="313">
        <f>C110+D110+E110</f>
        <v>4557.4800000000005</v>
      </c>
      <c r="P110" s="313">
        <f>F110+G110+H110</f>
        <v>4160.66</v>
      </c>
      <c r="Q110" s="313">
        <f>I110+J110+K110</f>
        <v>0</v>
      </c>
      <c r="R110" s="313">
        <f>L110+M110+N110</f>
        <v>0</v>
      </c>
      <c r="S110" s="313">
        <f t="shared" ref="S110" si="201">SUM(C110:N110)</f>
        <v>8718.14</v>
      </c>
      <c r="T110" s="338">
        <f>T90-T96</f>
        <v>67.062615384615384</v>
      </c>
      <c r="U110" s="162"/>
    </row>
    <row r="111" spans="1:21" s="190" customFormat="1" ht="16.5" customHeight="1">
      <c r="A111" s="1088"/>
      <c r="B111" s="312" t="s">
        <v>247</v>
      </c>
      <c r="C111" s="313">
        <f t="shared" ref="C111:T111" si="202">C93-C99</f>
        <v>23182</v>
      </c>
      <c r="D111" s="313">
        <f t="shared" si="202"/>
        <v>22635</v>
      </c>
      <c r="E111" s="313">
        <f t="shared" si="202"/>
        <v>19337</v>
      </c>
      <c r="F111" s="313">
        <f t="shared" si="202"/>
        <v>21870</v>
      </c>
      <c r="G111" s="313">
        <f t="shared" si="202"/>
        <v>20038</v>
      </c>
      <c r="H111" s="313">
        <f t="shared" si="202"/>
        <v>19354</v>
      </c>
      <c r="I111" s="313">
        <f t="shared" si="202"/>
        <v>0</v>
      </c>
      <c r="J111" s="313">
        <f t="shared" si="202"/>
        <v>0</v>
      </c>
      <c r="K111" s="313">
        <f t="shared" si="202"/>
        <v>0</v>
      </c>
      <c r="L111" s="313">
        <f t="shared" si="202"/>
        <v>0</v>
      </c>
      <c r="M111" s="313">
        <f t="shared" si="202"/>
        <v>0</v>
      </c>
      <c r="N111" s="313">
        <f t="shared" si="202"/>
        <v>0</v>
      </c>
      <c r="O111" s="313">
        <f t="shared" si="202"/>
        <v>65154</v>
      </c>
      <c r="P111" s="313">
        <f t="shared" si="202"/>
        <v>61262</v>
      </c>
      <c r="Q111" s="313">
        <f t="shared" si="202"/>
        <v>0</v>
      </c>
      <c r="R111" s="313">
        <f t="shared" si="202"/>
        <v>0</v>
      </c>
      <c r="S111" s="313">
        <f t="shared" si="202"/>
        <v>126416</v>
      </c>
      <c r="T111" s="338">
        <f t="shared" si="202"/>
        <v>972.43076923076933</v>
      </c>
      <c r="U111" s="162"/>
    </row>
    <row r="112" spans="1:21" s="190" customFormat="1" ht="16.5" customHeight="1">
      <c r="A112" s="1089"/>
      <c r="B112" s="312" t="s">
        <v>261</v>
      </c>
      <c r="C112" s="314">
        <f t="shared" ref="C112:S112" si="203">IFERROR(C111/C110,0)</f>
        <v>13.723899903502904</v>
      </c>
      <c r="D112" s="314">
        <f t="shared" si="203"/>
        <v>14.624265879297308</v>
      </c>
      <c r="E112" s="314">
        <f t="shared" si="203"/>
        <v>14.643252002968483</v>
      </c>
      <c r="F112" s="314">
        <f t="shared" si="203"/>
        <v>15.501842925999432</v>
      </c>
      <c r="G112" s="314">
        <f t="shared" si="203"/>
        <v>14.373430887310805</v>
      </c>
      <c r="H112" s="314">
        <f t="shared" si="203"/>
        <v>14.275387974272739</v>
      </c>
      <c r="I112" s="314">
        <f t="shared" si="203"/>
        <v>0</v>
      </c>
      <c r="J112" s="314">
        <f t="shared" si="203"/>
        <v>0</v>
      </c>
      <c r="K112" s="314">
        <f t="shared" si="203"/>
        <v>0</v>
      </c>
      <c r="L112" s="314">
        <f t="shared" si="203"/>
        <v>0</v>
      </c>
      <c r="M112" s="314">
        <f t="shared" si="203"/>
        <v>0</v>
      </c>
      <c r="N112" s="314">
        <f t="shared" si="203"/>
        <v>0</v>
      </c>
      <c r="O112" s="314">
        <f t="shared" si="203"/>
        <v>14.296058348034439</v>
      </c>
      <c r="P112" s="314">
        <f t="shared" si="203"/>
        <v>14.724106271601141</v>
      </c>
      <c r="Q112" s="314">
        <f t="shared" si="203"/>
        <v>0</v>
      </c>
      <c r="R112" s="314">
        <f t="shared" si="203"/>
        <v>0</v>
      </c>
      <c r="S112" s="314">
        <f t="shared" si="203"/>
        <v>14.500340668995911</v>
      </c>
      <c r="T112" s="318">
        <f>IFERROR(T111/T110,0)</f>
        <v>14.500340668995911</v>
      </c>
      <c r="U112" s="162"/>
    </row>
    <row r="114" spans="1:30" ht="21.6" thickBot="1">
      <c r="A114" s="742" t="s">
        <v>19</v>
      </c>
      <c r="B114" s="742" t="s">
        <v>486</v>
      </c>
      <c r="C114" s="893" t="s">
        <v>8</v>
      </c>
      <c r="D114" s="893" t="s">
        <v>78</v>
      </c>
      <c r="E114" s="893" t="s">
        <v>79</v>
      </c>
      <c r="F114" s="893" t="s">
        <v>80</v>
      </c>
      <c r="G114" s="893" t="s">
        <v>81</v>
      </c>
      <c r="H114" s="893" t="s">
        <v>82</v>
      </c>
      <c r="I114" s="893" t="s">
        <v>83</v>
      </c>
      <c r="J114" s="893" t="s">
        <v>84</v>
      </c>
      <c r="K114" s="893" t="s">
        <v>85</v>
      </c>
      <c r="L114" s="893" t="s">
        <v>4</v>
      </c>
      <c r="M114" s="893" t="s">
        <v>5</v>
      </c>
      <c r="N114" s="893" t="s">
        <v>6</v>
      </c>
      <c r="O114" s="894" t="s">
        <v>110</v>
      </c>
      <c r="P114" s="894" t="s">
        <v>111</v>
      </c>
      <c r="Q114" s="894" t="s">
        <v>112</v>
      </c>
      <c r="R114" s="894" t="s">
        <v>113</v>
      </c>
      <c r="S114" s="894" t="s">
        <v>114</v>
      </c>
      <c r="T114" s="894" t="s">
        <v>243</v>
      </c>
      <c r="X114" s="166"/>
    </row>
    <row r="115" spans="1:30" ht="12.75" customHeight="1">
      <c r="A115" s="1107" t="s">
        <v>272</v>
      </c>
      <c r="B115" s="286" t="s">
        <v>187</v>
      </c>
      <c r="C115" s="284">
        <v>22</v>
      </c>
      <c r="D115" s="284">
        <v>23</v>
      </c>
      <c r="E115" s="284">
        <v>20</v>
      </c>
      <c r="F115" s="284">
        <v>23</v>
      </c>
      <c r="G115" s="284">
        <v>21</v>
      </c>
      <c r="H115" s="284">
        <v>19</v>
      </c>
      <c r="I115" s="284">
        <v>23</v>
      </c>
      <c r="J115" s="284">
        <v>20</v>
      </c>
      <c r="K115" s="284">
        <v>21</v>
      </c>
      <c r="L115" s="284">
        <v>22</v>
      </c>
      <c r="M115" s="284">
        <v>23</v>
      </c>
      <c r="N115" s="284">
        <v>20</v>
      </c>
      <c r="O115" s="317">
        <v>65</v>
      </c>
      <c r="P115" s="317">
        <v>63</v>
      </c>
      <c r="Q115" s="317">
        <v>64</v>
      </c>
      <c r="R115" s="317">
        <v>65</v>
      </c>
      <c r="S115" s="321">
        <v>257</v>
      </c>
      <c r="T115" s="145"/>
      <c r="X115" s="166"/>
    </row>
    <row r="116" spans="1:30" ht="13.5" customHeight="1" thickBot="1">
      <c r="A116" s="1108"/>
      <c r="B116" s="229" t="s">
        <v>244</v>
      </c>
      <c r="C116" s="331">
        <v>27</v>
      </c>
      <c r="D116" s="331">
        <v>25</v>
      </c>
      <c r="E116" s="331">
        <v>25</v>
      </c>
      <c r="F116" s="331">
        <v>25</v>
      </c>
      <c r="G116" s="331">
        <v>25</v>
      </c>
      <c r="H116" s="331">
        <v>25</v>
      </c>
      <c r="I116" s="331">
        <v>25</v>
      </c>
      <c r="J116" s="331">
        <v>25</v>
      </c>
      <c r="K116" s="331">
        <v>25</v>
      </c>
      <c r="L116" s="331">
        <v>31</v>
      </c>
      <c r="M116" s="331">
        <v>31</v>
      </c>
      <c r="N116" s="331">
        <v>31</v>
      </c>
      <c r="O116" s="255">
        <v>27</v>
      </c>
      <c r="P116" s="255">
        <v>25</v>
      </c>
      <c r="Q116" s="255">
        <v>25</v>
      </c>
      <c r="R116" s="255">
        <v>31</v>
      </c>
      <c r="S116" s="319">
        <v>31</v>
      </c>
      <c r="T116" s="173">
        <v>31</v>
      </c>
    </row>
    <row r="117" spans="1:30">
      <c r="A117" s="1105" t="s">
        <v>248</v>
      </c>
      <c r="B117" s="178" t="s">
        <v>190</v>
      </c>
      <c r="C117" s="180">
        <v>3162.12</v>
      </c>
      <c r="D117" s="180">
        <v>3622.0299999999997</v>
      </c>
      <c r="E117" s="180">
        <v>3146.95</v>
      </c>
      <c r="F117" s="180">
        <v>3752.9500000000007</v>
      </c>
      <c r="G117" s="180">
        <v>3290.3700000000008</v>
      </c>
      <c r="H117" s="180">
        <v>2911.5200000000004</v>
      </c>
      <c r="I117" s="180">
        <v>3477.04</v>
      </c>
      <c r="J117" s="180">
        <v>3296</v>
      </c>
      <c r="K117" s="180">
        <v>3532.25</v>
      </c>
      <c r="L117" s="180">
        <v>3570.4500000000007</v>
      </c>
      <c r="M117" s="180">
        <v>3844.9300000000003</v>
      </c>
      <c r="N117" s="180">
        <v>3362.8500000000004</v>
      </c>
      <c r="O117" s="266">
        <v>9931.0999999999985</v>
      </c>
      <c r="P117" s="266">
        <v>9954.840000000002</v>
      </c>
      <c r="Q117" s="266">
        <v>10305.290000000001</v>
      </c>
      <c r="R117" s="266">
        <v>10778.230000000001</v>
      </c>
      <c r="S117" s="325">
        <v>40969.46</v>
      </c>
      <c r="T117" s="182"/>
      <c r="X117" s="166"/>
      <c r="Y117" s="166"/>
      <c r="Z117" s="166"/>
      <c r="AA117" s="166"/>
      <c r="AB117" s="166"/>
      <c r="AC117" s="166"/>
      <c r="AD117" s="166"/>
    </row>
    <row r="118" spans="1:30">
      <c r="A118" s="1105"/>
      <c r="B118" s="177" t="s">
        <v>148</v>
      </c>
      <c r="C118" s="322">
        <v>1497</v>
      </c>
      <c r="D118" s="322">
        <v>1531</v>
      </c>
      <c r="E118" s="322">
        <v>1421</v>
      </c>
      <c r="F118" s="322">
        <v>1734</v>
      </c>
      <c r="G118" s="322">
        <v>1549</v>
      </c>
      <c r="H118" s="322">
        <v>1348</v>
      </c>
      <c r="I118" s="322">
        <v>1828</v>
      </c>
      <c r="J118" s="322">
        <v>1723</v>
      </c>
      <c r="K118" s="322">
        <v>1791</v>
      </c>
      <c r="L118" s="322">
        <v>1875</v>
      </c>
      <c r="M118" s="322">
        <v>2075</v>
      </c>
      <c r="N118" s="322">
        <v>1872</v>
      </c>
      <c r="O118" s="231">
        <v>4449</v>
      </c>
      <c r="P118" s="231">
        <v>4631</v>
      </c>
      <c r="Q118" s="231">
        <v>5342</v>
      </c>
      <c r="R118" s="231">
        <v>5822</v>
      </c>
      <c r="S118" s="326">
        <v>20244</v>
      </c>
      <c r="T118" s="183"/>
    </row>
    <row r="119" spans="1:30" ht="13.8" thickBot="1">
      <c r="A119" s="1106"/>
      <c r="B119" s="287" t="s">
        <v>45</v>
      </c>
      <c r="C119" s="316">
        <v>4659.12</v>
      </c>
      <c r="D119" s="316">
        <v>5153.03</v>
      </c>
      <c r="E119" s="316">
        <v>4567.95</v>
      </c>
      <c r="F119" s="316">
        <v>5486.9500000000007</v>
      </c>
      <c r="G119" s="316">
        <v>4839.3700000000008</v>
      </c>
      <c r="H119" s="316">
        <v>4259.5200000000004</v>
      </c>
      <c r="I119" s="316">
        <v>5305.04</v>
      </c>
      <c r="J119" s="316">
        <v>5019</v>
      </c>
      <c r="K119" s="316">
        <v>5323.25</v>
      </c>
      <c r="L119" s="316">
        <v>5445.4500000000007</v>
      </c>
      <c r="M119" s="316">
        <v>5919.93</v>
      </c>
      <c r="N119" s="316">
        <v>5234.8500000000004</v>
      </c>
      <c r="O119" s="316">
        <v>14380.099999999999</v>
      </c>
      <c r="P119" s="316">
        <v>14585.840000000002</v>
      </c>
      <c r="Q119" s="316">
        <v>15647.29</v>
      </c>
      <c r="R119" s="316">
        <v>16600.230000000003</v>
      </c>
      <c r="S119" s="327">
        <v>61213.459999999992</v>
      </c>
      <c r="T119" s="179">
        <v>238.18466926070036</v>
      </c>
    </row>
    <row r="120" spans="1:30">
      <c r="A120" s="1104" t="s">
        <v>245</v>
      </c>
      <c r="B120" s="184" t="s">
        <v>190</v>
      </c>
      <c r="C120" s="322">
        <v>58166</v>
      </c>
      <c r="D120" s="322">
        <v>66050</v>
      </c>
      <c r="E120" s="322">
        <v>56169</v>
      </c>
      <c r="F120" s="322">
        <v>66673</v>
      </c>
      <c r="G120" s="322">
        <v>57688</v>
      </c>
      <c r="H120" s="322">
        <v>48307</v>
      </c>
      <c r="I120" s="322">
        <v>60910</v>
      </c>
      <c r="J120" s="322">
        <v>57732</v>
      </c>
      <c r="K120" s="322">
        <v>61748</v>
      </c>
      <c r="L120" s="322">
        <v>62575</v>
      </c>
      <c r="M120" s="322">
        <v>66025</v>
      </c>
      <c r="N120" s="322">
        <v>57270</v>
      </c>
      <c r="O120" s="231">
        <v>180385</v>
      </c>
      <c r="P120" s="231">
        <v>172668</v>
      </c>
      <c r="Q120" s="231">
        <v>180390</v>
      </c>
      <c r="R120" s="231">
        <v>185870</v>
      </c>
      <c r="S120" s="328">
        <v>719313</v>
      </c>
      <c r="T120" s="182"/>
    </row>
    <row r="121" spans="1:30">
      <c r="A121" s="1105"/>
      <c r="B121" s="177" t="s">
        <v>497</v>
      </c>
      <c r="C121" s="322">
        <v>27558</v>
      </c>
      <c r="D121" s="322">
        <v>27881</v>
      </c>
      <c r="E121" s="322">
        <v>25257</v>
      </c>
      <c r="F121" s="322">
        <v>30716</v>
      </c>
      <c r="G121" s="322">
        <v>26978</v>
      </c>
      <c r="H121" s="322">
        <v>22181</v>
      </c>
      <c r="I121" s="322">
        <v>31560</v>
      </c>
      <c r="J121" s="322">
        <v>29569</v>
      </c>
      <c r="K121" s="322">
        <v>31135</v>
      </c>
      <c r="L121" s="322">
        <v>32187</v>
      </c>
      <c r="M121" s="322">
        <v>34780</v>
      </c>
      <c r="N121" s="322">
        <v>31476</v>
      </c>
      <c r="O121" s="231">
        <v>80696</v>
      </c>
      <c r="P121" s="231">
        <v>79875</v>
      </c>
      <c r="Q121" s="231">
        <v>92264</v>
      </c>
      <c r="R121" s="231">
        <v>98443</v>
      </c>
      <c r="S121" s="326">
        <v>351278</v>
      </c>
      <c r="T121" s="183"/>
    </row>
    <row r="122" spans="1:30" ht="13.8" thickBot="1">
      <c r="A122" s="1106"/>
      <c r="B122" s="287" t="s">
        <v>46</v>
      </c>
      <c r="C122" s="316">
        <v>85724</v>
      </c>
      <c r="D122" s="316">
        <v>93931</v>
      </c>
      <c r="E122" s="316">
        <v>81426</v>
      </c>
      <c r="F122" s="316">
        <v>97389</v>
      </c>
      <c r="G122" s="316">
        <v>84666</v>
      </c>
      <c r="H122" s="316">
        <v>70488</v>
      </c>
      <c r="I122" s="316">
        <v>92470</v>
      </c>
      <c r="J122" s="316">
        <v>87301</v>
      </c>
      <c r="K122" s="316">
        <v>92883</v>
      </c>
      <c r="L122" s="316">
        <v>94762</v>
      </c>
      <c r="M122" s="316">
        <v>100805</v>
      </c>
      <c r="N122" s="316">
        <v>88746</v>
      </c>
      <c r="O122" s="316">
        <v>261081</v>
      </c>
      <c r="P122" s="316">
        <v>252543</v>
      </c>
      <c r="Q122" s="316">
        <v>272654</v>
      </c>
      <c r="R122" s="316">
        <v>284313</v>
      </c>
      <c r="S122" s="327">
        <v>1070591</v>
      </c>
      <c r="T122" s="179">
        <v>4165.7237354085601</v>
      </c>
    </row>
    <row r="123" spans="1:30">
      <c r="A123" s="1104" t="s">
        <v>249</v>
      </c>
      <c r="B123" s="184" t="s">
        <v>190</v>
      </c>
      <c r="C123" s="323">
        <v>2578.63</v>
      </c>
      <c r="D123" s="323">
        <v>2991.2700000000004</v>
      </c>
      <c r="E123" s="323">
        <v>2529.0500000000002</v>
      </c>
      <c r="F123" s="323">
        <v>3029.38</v>
      </c>
      <c r="G123" s="323">
        <v>2606.6499999999996</v>
      </c>
      <c r="H123" s="323">
        <v>2142.2800000000002</v>
      </c>
      <c r="I123" s="323">
        <v>2684.25</v>
      </c>
      <c r="J123" s="323">
        <v>2615.6000000000004</v>
      </c>
      <c r="K123" s="323">
        <v>2732.12</v>
      </c>
      <c r="L123" s="323">
        <v>2734.05</v>
      </c>
      <c r="M123" s="323">
        <v>2880.7700000000004</v>
      </c>
      <c r="N123" s="323">
        <v>2530.5</v>
      </c>
      <c r="O123" s="231">
        <v>8098.9500000000007</v>
      </c>
      <c r="P123" s="231">
        <v>7778.3099999999995</v>
      </c>
      <c r="Q123" s="231">
        <v>8031.97</v>
      </c>
      <c r="R123" s="231">
        <v>8145.3200000000006</v>
      </c>
      <c r="S123" s="328">
        <v>32054.55</v>
      </c>
      <c r="T123" s="187"/>
    </row>
    <row r="124" spans="1:30">
      <c r="A124" s="1105"/>
      <c r="B124" s="177" t="s">
        <v>148</v>
      </c>
      <c r="C124" s="322">
        <v>1208</v>
      </c>
      <c r="D124" s="322">
        <v>1261</v>
      </c>
      <c r="E124" s="322">
        <v>1142</v>
      </c>
      <c r="F124" s="322">
        <v>1403</v>
      </c>
      <c r="G124" s="322">
        <v>1226</v>
      </c>
      <c r="H124" s="322">
        <v>994</v>
      </c>
      <c r="I124" s="322">
        <v>1390</v>
      </c>
      <c r="J124" s="322">
        <v>1364</v>
      </c>
      <c r="K124" s="322">
        <v>1382</v>
      </c>
      <c r="L124" s="322">
        <v>1429</v>
      </c>
      <c r="M124" s="322">
        <v>1538</v>
      </c>
      <c r="N124" s="322">
        <v>1395</v>
      </c>
      <c r="O124" s="231">
        <v>3611</v>
      </c>
      <c r="P124" s="231">
        <v>3623</v>
      </c>
      <c r="Q124" s="231">
        <v>4136</v>
      </c>
      <c r="R124" s="231">
        <v>4362</v>
      </c>
      <c r="S124" s="326">
        <v>15732</v>
      </c>
      <c r="T124" s="183"/>
    </row>
    <row r="125" spans="1:30" ht="13.8" thickBot="1">
      <c r="A125" s="1106"/>
      <c r="B125" s="287" t="s">
        <v>109</v>
      </c>
      <c r="C125" s="316">
        <v>3786.63</v>
      </c>
      <c r="D125" s="316">
        <v>4252.2700000000004</v>
      </c>
      <c r="E125" s="316">
        <v>3671.05</v>
      </c>
      <c r="F125" s="316">
        <v>4432.38</v>
      </c>
      <c r="G125" s="316">
        <v>3832.6499999999996</v>
      </c>
      <c r="H125" s="316">
        <v>3136.28</v>
      </c>
      <c r="I125" s="316">
        <v>4074.25</v>
      </c>
      <c r="J125" s="316">
        <v>3979.6000000000004</v>
      </c>
      <c r="K125" s="316">
        <v>4114.12</v>
      </c>
      <c r="L125" s="316">
        <v>4163.05</v>
      </c>
      <c r="M125" s="316">
        <v>4418.7700000000004</v>
      </c>
      <c r="N125" s="316">
        <v>3925.5</v>
      </c>
      <c r="O125" s="316">
        <v>11709.95</v>
      </c>
      <c r="P125" s="316">
        <v>11401.31</v>
      </c>
      <c r="Q125" s="316">
        <v>12167.970000000001</v>
      </c>
      <c r="R125" s="316">
        <v>12507.32</v>
      </c>
      <c r="S125" s="327">
        <v>47786.55</v>
      </c>
      <c r="T125" s="179">
        <v>185.9398832684825</v>
      </c>
    </row>
    <row r="126" spans="1:30">
      <c r="A126" s="1104" t="s">
        <v>246</v>
      </c>
      <c r="B126" s="178" t="s">
        <v>190</v>
      </c>
      <c r="C126" s="322">
        <v>48408</v>
      </c>
      <c r="D126" s="322">
        <v>55739</v>
      </c>
      <c r="E126" s="322">
        <v>46452</v>
      </c>
      <c r="F126" s="322">
        <v>55744</v>
      </c>
      <c r="G126" s="322">
        <v>47765</v>
      </c>
      <c r="H126" s="322">
        <v>38400</v>
      </c>
      <c r="I126" s="322">
        <v>49257</v>
      </c>
      <c r="J126" s="322">
        <v>47367</v>
      </c>
      <c r="K126" s="322">
        <v>49844</v>
      </c>
      <c r="L126" s="322">
        <v>50040</v>
      </c>
      <c r="M126" s="322">
        <v>52154</v>
      </c>
      <c r="N126" s="322">
        <v>45491</v>
      </c>
      <c r="O126" s="231">
        <v>150599</v>
      </c>
      <c r="P126" s="231">
        <v>141909</v>
      </c>
      <c r="Q126" s="231">
        <v>146468</v>
      </c>
      <c r="R126" s="231">
        <v>147685</v>
      </c>
      <c r="S126" s="326">
        <v>586661</v>
      </c>
      <c r="T126" s="182"/>
    </row>
    <row r="127" spans="1:30">
      <c r="A127" s="1105"/>
      <c r="B127" s="177" t="s">
        <v>148</v>
      </c>
      <c r="C127" s="322">
        <v>22806</v>
      </c>
      <c r="D127" s="322">
        <v>23583</v>
      </c>
      <c r="E127" s="322">
        <v>20967</v>
      </c>
      <c r="F127" s="322">
        <v>25585</v>
      </c>
      <c r="G127" s="322">
        <v>22293</v>
      </c>
      <c r="H127" s="322">
        <v>17519</v>
      </c>
      <c r="I127" s="322">
        <v>25224</v>
      </c>
      <c r="J127" s="322">
        <v>24276</v>
      </c>
      <c r="K127" s="322">
        <v>25016</v>
      </c>
      <c r="L127" s="322">
        <v>25583</v>
      </c>
      <c r="M127" s="322">
        <v>27196</v>
      </c>
      <c r="N127" s="322">
        <v>24725</v>
      </c>
      <c r="O127" s="231">
        <v>67356</v>
      </c>
      <c r="P127" s="231">
        <v>65397</v>
      </c>
      <c r="Q127" s="231">
        <v>74516</v>
      </c>
      <c r="R127" s="231">
        <v>77504</v>
      </c>
      <c r="S127" s="326">
        <v>284773</v>
      </c>
      <c r="T127" s="183"/>
    </row>
    <row r="128" spans="1:30" ht="13.8" thickBot="1">
      <c r="A128" s="1106"/>
      <c r="B128" s="287" t="s">
        <v>47</v>
      </c>
      <c r="C128" s="316">
        <v>71214</v>
      </c>
      <c r="D128" s="316">
        <v>79322</v>
      </c>
      <c r="E128" s="316">
        <v>67419</v>
      </c>
      <c r="F128" s="316">
        <v>81329</v>
      </c>
      <c r="G128" s="316">
        <v>70058</v>
      </c>
      <c r="H128" s="316">
        <v>55919</v>
      </c>
      <c r="I128" s="316">
        <v>74481</v>
      </c>
      <c r="J128" s="316">
        <v>71643</v>
      </c>
      <c r="K128" s="316">
        <v>74860</v>
      </c>
      <c r="L128" s="316">
        <v>75623</v>
      </c>
      <c r="M128" s="316">
        <v>79350</v>
      </c>
      <c r="N128" s="316">
        <v>70216</v>
      </c>
      <c r="O128" s="316">
        <v>217955</v>
      </c>
      <c r="P128" s="316">
        <v>207306</v>
      </c>
      <c r="Q128" s="316">
        <v>220984</v>
      </c>
      <c r="R128" s="316">
        <v>225189</v>
      </c>
      <c r="S128" s="327">
        <v>871434</v>
      </c>
      <c r="T128" s="179">
        <v>3390.793774319066</v>
      </c>
    </row>
    <row r="129" spans="1:20">
      <c r="A129" s="1104" t="s">
        <v>251</v>
      </c>
      <c r="B129" s="184" t="s">
        <v>190</v>
      </c>
      <c r="C129" s="323">
        <v>60939</v>
      </c>
      <c r="D129" s="323">
        <v>70088</v>
      </c>
      <c r="E129" s="323">
        <v>58685</v>
      </c>
      <c r="F129" s="323">
        <v>68194</v>
      </c>
      <c r="G129" s="323">
        <v>55932</v>
      </c>
      <c r="H129" s="323">
        <v>43988</v>
      </c>
      <c r="I129" s="323">
        <v>-64403.68</v>
      </c>
      <c r="J129" s="323">
        <v>56707</v>
      </c>
      <c r="K129" s="323">
        <v>61813</v>
      </c>
      <c r="L129" s="323">
        <v>61339</v>
      </c>
      <c r="M129" s="323">
        <v>64287</v>
      </c>
      <c r="N129" s="323">
        <v>55891</v>
      </c>
      <c r="O129" s="231">
        <v>189712</v>
      </c>
      <c r="P129" s="231">
        <v>168114</v>
      </c>
      <c r="Q129" s="231">
        <v>54116.32</v>
      </c>
      <c r="R129" s="231">
        <v>181517</v>
      </c>
      <c r="S129" s="328">
        <v>593459.32000000007</v>
      </c>
      <c r="T129" s="182"/>
    </row>
    <row r="130" spans="1:20">
      <c r="A130" s="1105"/>
      <c r="B130" s="177" t="s">
        <v>148</v>
      </c>
      <c r="C130" s="322">
        <v>28420</v>
      </c>
      <c r="D130" s="322">
        <v>30554</v>
      </c>
      <c r="E130" s="322">
        <v>26731</v>
      </c>
      <c r="F130" s="322">
        <v>32151</v>
      </c>
      <c r="G130" s="322">
        <v>25442</v>
      </c>
      <c r="H130" s="322">
        <v>19150</v>
      </c>
      <c r="I130" s="322">
        <v>27935</v>
      </c>
      <c r="J130" s="322">
        <v>27456</v>
      </c>
      <c r="K130" s="322">
        <v>27651</v>
      </c>
      <c r="L130" s="322">
        <v>28932</v>
      </c>
      <c r="M130" s="322">
        <v>32680</v>
      </c>
      <c r="N130" s="322">
        <v>29844</v>
      </c>
      <c r="O130" s="231">
        <v>85705</v>
      </c>
      <c r="P130" s="231">
        <v>76743</v>
      </c>
      <c r="Q130" s="231">
        <v>83042</v>
      </c>
      <c r="R130" s="231">
        <v>91456</v>
      </c>
      <c r="S130" s="326">
        <v>336946</v>
      </c>
      <c r="T130" s="183"/>
    </row>
    <row r="131" spans="1:20" ht="13.8" thickBot="1">
      <c r="A131" s="1106"/>
      <c r="B131" s="287" t="s">
        <v>241</v>
      </c>
      <c r="C131" s="316">
        <v>89359</v>
      </c>
      <c r="D131" s="316">
        <v>100642</v>
      </c>
      <c r="E131" s="316">
        <v>85416</v>
      </c>
      <c r="F131" s="316">
        <v>100345</v>
      </c>
      <c r="G131" s="316">
        <v>81374</v>
      </c>
      <c r="H131" s="316">
        <v>63138</v>
      </c>
      <c r="I131" s="316">
        <v>-36468.68</v>
      </c>
      <c r="J131" s="316">
        <v>84163</v>
      </c>
      <c r="K131" s="316">
        <v>89464</v>
      </c>
      <c r="L131" s="316">
        <v>90271</v>
      </c>
      <c r="M131" s="316">
        <v>96967</v>
      </c>
      <c r="N131" s="316">
        <v>85735</v>
      </c>
      <c r="O131" s="316">
        <v>275417</v>
      </c>
      <c r="P131" s="316">
        <v>244857</v>
      </c>
      <c r="Q131" s="316">
        <v>137158.32</v>
      </c>
      <c r="R131" s="316">
        <v>272973</v>
      </c>
      <c r="S131" s="327">
        <v>930405.32000000007</v>
      </c>
      <c r="T131" s="179">
        <v>3620.2541634241247</v>
      </c>
    </row>
    <row r="132" spans="1:20">
      <c r="A132" s="1105" t="s">
        <v>260</v>
      </c>
      <c r="B132" s="178" t="s">
        <v>265</v>
      </c>
      <c r="C132" s="322">
        <v>463</v>
      </c>
      <c r="D132" s="322">
        <v>488</v>
      </c>
      <c r="E132" s="322">
        <v>430</v>
      </c>
      <c r="F132" s="322">
        <v>543</v>
      </c>
      <c r="G132" s="322">
        <v>410</v>
      </c>
      <c r="H132" s="322">
        <v>374</v>
      </c>
      <c r="I132" s="322">
        <v>521</v>
      </c>
      <c r="J132" s="322">
        <v>451</v>
      </c>
      <c r="K132" s="322">
        <v>529</v>
      </c>
      <c r="L132" s="322">
        <v>511</v>
      </c>
      <c r="M132" s="322">
        <v>542</v>
      </c>
      <c r="N132" s="322">
        <v>446</v>
      </c>
      <c r="O132" s="231">
        <v>1381</v>
      </c>
      <c r="P132" s="231">
        <v>1327</v>
      </c>
      <c r="Q132" s="231">
        <v>1501</v>
      </c>
      <c r="R132" s="231">
        <v>1499</v>
      </c>
      <c r="S132" s="326">
        <v>5708</v>
      </c>
      <c r="T132" s="182"/>
    </row>
    <row r="133" spans="1:20">
      <c r="A133" s="1105"/>
      <c r="B133" s="177" t="s">
        <v>263</v>
      </c>
      <c r="C133" s="322">
        <v>3070</v>
      </c>
      <c r="D133" s="322">
        <v>3133</v>
      </c>
      <c r="E133" s="322">
        <v>2714</v>
      </c>
      <c r="F133" s="322">
        <v>3267</v>
      </c>
      <c r="G133" s="322">
        <v>2694</v>
      </c>
      <c r="H133" s="322">
        <v>2138</v>
      </c>
      <c r="I133" s="322">
        <v>3076</v>
      </c>
      <c r="J133" s="322">
        <v>2984</v>
      </c>
      <c r="K133" s="322">
        <v>3080</v>
      </c>
      <c r="L133" s="322">
        <v>3211</v>
      </c>
      <c r="M133" s="322">
        <v>3449</v>
      </c>
      <c r="N133" s="322">
        <v>3235</v>
      </c>
      <c r="O133" s="231">
        <v>8917</v>
      </c>
      <c r="P133" s="231">
        <v>8099</v>
      </c>
      <c r="Q133" s="231">
        <v>9140</v>
      </c>
      <c r="R133" s="231">
        <v>9895</v>
      </c>
      <c r="S133" s="326">
        <v>36051</v>
      </c>
      <c r="T133" s="183"/>
    </row>
    <row r="134" spans="1:20">
      <c r="A134" s="1105"/>
      <c r="B134" s="289" t="s">
        <v>270</v>
      </c>
      <c r="C134" s="324">
        <v>3533</v>
      </c>
      <c r="D134" s="324">
        <v>3621</v>
      </c>
      <c r="E134" s="324">
        <v>3144</v>
      </c>
      <c r="F134" s="324">
        <v>3810</v>
      </c>
      <c r="G134" s="324">
        <v>3104</v>
      </c>
      <c r="H134" s="324">
        <v>2512</v>
      </c>
      <c r="I134" s="324">
        <v>3597</v>
      </c>
      <c r="J134" s="324">
        <v>3435</v>
      </c>
      <c r="K134" s="324">
        <v>3609</v>
      </c>
      <c r="L134" s="324">
        <v>3722</v>
      </c>
      <c r="M134" s="324">
        <v>3991</v>
      </c>
      <c r="N134" s="324">
        <v>3681</v>
      </c>
      <c r="O134" s="324">
        <v>10298</v>
      </c>
      <c r="P134" s="324">
        <v>9426</v>
      </c>
      <c r="Q134" s="324">
        <v>10641</v>
      </c>
      <c r="R134" s="324">
        <v>11394</v>
      </c>
      <c r="S134" s="329">
        <v>41759</v>
      </c>
      <c r="T134" s="145"/>
    </row>
    <row r="135" spans="1:20">
      <c r="A135" s="1105"/>
      <c r="B135" s="289" t="s">
        <v>264</v>
      </c>
      <c r="C135" s="324">
        <v>1017</v>
      </c>
      <c r="D135" s="324">
        <v>1330</v>
      </c>
      <c r="E135" s="324">
        <v>771</v>
      </c>
      <c r="F135" s="324">
        <v>967</v>
      </c>
      <c r="G135" s="324">
        <v>484</v>
      </c>
      <c r="H135" s="324">
        <v>405</v>
      </c>
      <c r="I135" s="324">
        <v>473</v>
      </c>
      <c r="J135" s="324">
        <v>434</v>
      </c>
      <c r="K135" s="324">
        <v>449</v>
      </c>
      <c r="L135" s="324">
        <v>517</v>
      </c>
      <c r="M135" s="324">
        <v>607</v>
      </c>
      <c r="N135" s="324">
        <v>500</v>
      </c>
      <c r="O135" s="324">
        <v>3118</v>
      </c>
      <c r="P135" s="324">
        <v>1856</v>
      </c>
      <c r="Q135" s="324">
        <v>1356</v>
      </c>
      <c r="R135" s="324">
        <v>1624</v>
      </c>
      <c r="S135" s="329">
        <v>7954</v>
      </c>
      <c r="T135" s="145"/>
    </row>
    <row r="136" spans="1:20">
      <c r="A136" s="1105"/>
      <c r="B136" s="289" t="s">
        <v>266</v>
      </c>
      <c r="C136" s="324">
        <v>4796</v>
      </c>
      <c r="D136" s="324">
        <v>5406</v>
      </c>
      <c r="E136" s="324">
        <v>4808</v>
      </c>
      <c r="F136" s="324">
        <v>5491</v>
      </c>
      <c r="G136" s="324">
        <v>4750</v>
      </c>
      <c r="H136" s="324">
        <v>3811</v>
      </c>
      <c r="I136" s="324">
        <v>4950</v>
      </c>
      <c r="J136" s="324">
        <v>4951</v>
      </c>
      <c r="K136" s="324">
        <v>5240</v>
      </c>
      <c r="L136" s="324">
        <v>5063</v>
      </c>
      <c r="M136" s="324">
        <v>5294</v>
      </c>
      <c r="N136" s="324">
        <v>4730</v>
      </c>
      <c r="O136" s="324">
        <v>15010</v>
      </c>
      <c r="P136" s="324">
        <v>14052</v>
      </c>
      <c r="Q136" s="324">
        <v>15141</v>
      </c>
      <c r="R136" s="324">
        <v>15087</v>
      </c>
      <c r="S136" s="329">
        <v>59290</v>
      </c>
      <c r="T136" s="145"/>
    </row>
    <row r="137" spans="1:20" ht="13.8" thickBot="1">
      <c r="A137" s="1106"/>
      <c r="B137" s="287" t="s">
        <v>269</v>
      </c>
      <c r="C137" s="316">
        <v>9346</v>
      </c>
      <c r="D137" s="316">
        <v>10357</v>
      </c>
      <c r="E137" s="316">
        <v>8723</v>
      </c>
      <c r="F137" s="316">
        <v>10268</v>
      </c>
      <c r="G137" s="316">
        <v>8338</v>
      </c>
      <c r="H137" s="316">
        <v>6728</v>
      </c>
      <c r="I137" s="316">
        <v>9020</v>
      </c>
      <c r="J137" s="316">
        <v>8820</v>
      </c>
      <c r="K137" s="316">
        <v>9298</v>
      </c>
      <c r="L137" s="316">
        <v>9302</v>
      </c>
      <c r="M137" s="316">
        <v>9892</v>
      </c>
      <c r="N137" s="316">
        <v>8911</v>
      </c>
      <c r="O137" s="316">
        <v>28426</v>
      </c>
      <c r="P137" s="316">
        <v>25334</v>
      </c>
      <c r="Q137" s="316">
        <v>27138</v>
      </c>
      <c r="R137" s="316">
        <v>28105</v>
      </c>
      <c r="S137" s="327">
        <v>109003</v>
      </c>
      <c r="T137" s="179">
        <v>424.13618677042803</v>
      </c>
    </row>
    <row r="138" spans="1:20">
      <c r="A138" s="1087" t="s">
        <v>268</v>
      </c>
      <c r="B138" s="312" t="s">
        <v>250</v>
      </c>
      <c r="C138" s="313">
        <v>872.48999999999978</v>
      </c>
      <c r="D138" s="313">
        <v>900.75999999999931</v>
      </c>
      <c r="E138" s="313">
        <v>896.89999999999964</v>
      </c>
      <c r="F138" s="313">
        <v>1054.5700000000006</v>
      </c>
      <c r="G138" s="313">
        <v>1006.7200000000012</v>
      </c>
      <c r="H138" s="313">
        <v>1123.2400000000002</v>
      </c>
      <c r="I138" s="313">
        <v>1230.79</v>
      </c>
      <c r="J138" s="313">
        <v>1039.3999999999996</v>
      </c>
      <c r="K138" s="313">
        <v>1209.1300000000001</v>
      </c>
      <c r="L138" s="313">
        <v>1282.4000000000005</v>
      </c>
      <c r="M138" s="313">
        <v>1501.1599999999999</v>
      </c>
      <c r="N138" s="313">
        <v>1309.3500000000004</v>
      </c>
      <c r="O138" s="313">
        <v>2670.1499999999987</v>
      </c>
      <c r="P138" s="313">
        <v>3184.530000000002</v>
      </c>
      <c r="Q138" s="313">
        <v>3479.3199999999997</v>
      </c>
      <c r="R138" s="313">
        <v>4092.9100000000008</v>
      </c>
      <c r="S138" s="313">
        <v>13426.910000000002</v>
      </c>
      <c r="T138" s="338">
        <v>52.244785992217857</v>
      </c>
    </row>
    <row r="139" spans="1:20">
      <c r="A139" s="1088"/>
      <c r="B139" s="312" t="s">
        <v>247</v>
      </c>
      <c r="C139" s="313">
        <v>14510</v>
      </c>
      <c r="D139" s="313">
        <v>14609</v>
      </c>
      <c r="E139" s="313">
        <v>14007</v>
      </c>
      <c r="F139" s="313">
        <v>16060</v>
      </c>
      <c r="G139" s="313">
        <v>14608</v>
      </c>
      <c r="H139" s="313">
        <v>14569</v>
      </c>
      <c r="I139" s="313">
        <v>17989</v>
      </c>
      <c r="J139" s="313">
        <v>15658</v>
      </c>
      <c r="K139" s="313">
        <v>18023</v>
      </c>
      <c r="L139" s="313">
        <v>19139</v>
      </c>
      <c r="M139" s="313">
        <v>21455</v>
      </c>
      <c r="N139" s="313">
        <v>18530</v>
      </c>
      <c r="O139" s="313">
        <v>43126</v>
      </c>
      <c r="P139" s="313">
        <v>45237</v>
      </c>
      <c r="Q139" s="313">
        <v>51670</v>
      </c>
      <c r="R139" s="313">
        <v>59124</v>
      </c>
      <c r="S139" s="313">
        <v>199157</v>
      </c>
      <c r="T139" s="338">
        <v>774.9299610894941</v>
      </c>
    </row>
    <row r="140" spans="1:20">
      <c r="A140" s="1089"/>
      <c r="B140" s="312" t="s">
        <v>261</v>
      </c>
      <c r="C140" s="314">
        <v>16.630563101009759</v>
      </c>
      <c r="D140" s="314">
        <v>16.218526577556741</v>
      </c>
      <c r="E140" s="314">
        <v>15.617125655034013</v>
      </c>
      <c r="F140" s="314">
        <v>15.228955877751112</v>
      </c>
      <c r="G140" s="314">
        <v>14.510489510489494</v>
      </c>
      <c r="H140" s="314">
        <v>12.970513870588652</v>
      </c>
      <c r="I140" s="314">
        <v>14.615815858107394</v>
      </c>
      <c r="J140" s="314">
        <v>15.064460265537816</v>
      </c>
      <c r="K140" s="314">
        <v>14.905758685997368</v>
      </c>
      <c r="L140" s="314">
        <v>14.924360573923886</v>
      </c>
      <c r="M140" s="314">
        <v>14.292280636307924</v>
      </c>
      <c r="N140" s="314">
        <v>14.152060182533313</v>
      </c>
      <c r="O140" s="314">
        <v>16.151152556972463</v>
      </c>
      <c r="P140" s="314">
        <v>14.205235937485272</v>
      </c>
      <c r="Q140" s="314">
        <v>14.850602991389124</v>
      </c>
      <c r="R140" s="314">
        <v>14.445467894480942</v>
      </c>
      <c r="S140" s="314">
        <v>14.832675574648222</v>
      </c>
      <c r="T140" s="318">
        <v>14.832675574648237</v>
      </c>
    </row>
    <row r="141" spans="1:20" ht="6" customHeight="1" thickBot="1">
      <c r="A141" s="258"/>
      <c r="B141" s="259"/>
      <c r="C141" s="259"/>
      <c r="D141" s="259"/>
      <c r="E141" s="259"/>
      <c r="F141" s="259"/>
      <c r="G141" s="259"/>
      <c r="H141" s="259"/>
      <c r="I141" s="259"/>
      <c r="J141" s="259"/>
      <c r="K141" s="259"/>
      <c r="L141" s="259"/>
      <c r="M141" s="259"/>
      <c r="N141" s="259"/>
      <c r="O141" s="260"/>
      <c r="P141" s="260"/>
      <c r="Q141" s="260"/>
      <c r="R141" s="260"/>
      <c r="S141" s="261"/>
      <c r="T141" s="171"/>
    </row>
    <row r="142" spans="1:20" ht="12.75" customHeight="1">
      <c r="A142" s="1102" t="s">
        <v>389</v>
      </c>
      <c r="B142" s="286" t="s">
        <v>187</v>
      </c>
      <c r="C142" s="284">
        <v>4</v>
      </c>
      <c r="D142" s="317">
        <v>4</v>
      </c>
      <c r="E142" s="317">
        <v>5</v>
      </c>
      <c r="F142" s="317">
        <v>4</v>
      </c>
      <c r="G142" s="317">
        <v>4</v>
      </c>
      <c r="H142" s="317">
        <v>5</v>
      </c>
      <c r="I142" s="317">
        <v>4</v>
      </c>
      <c r="J142" s="317">
        <v>4</v>
      </c>
      <c r="K142" s="317">
        <v>5</v>
      </c>
      <c r="L142" s="317">
        <v>4</v>
      </c>
      <c r="M142" s="317">
        <v>4</v>
      </c>
      <c r="N142" s="317">
        <v>5</v>
      </c>
      <c r="O142" s="317">
        <v>13</v>
      </c>
      <c r="P142" s="317">
        <v>13</v>
      </c>
      <c r="Q142" s="317">
        <v>13</v>
      </c>
      <c r="R142" s="317">
        <v>13</v>
      </c>
      <c r="S142" s="330">
        <v>52</v>
      </c>
      <c r="T142" s="145"/>
    </row>
    <row r="143" spans="1:20" ht="13.5" customHeight="1" thickBot="1">
      <c r="A143" s="1103"/>
      <c r="B143" s="229" t="s">
        <v>244</v>
      </c>
      <c r="C143" s="331">
        <v>10</v>
      </c>
      <c r="D143" s="331">
        <v>8</v>
      </c>
      <c r="E143" s="331">
        <v>8</v>
      </c>
      <c r="F143" s="331">
        <v>8</v>
      </c>
      <c r="G143" s="331">
        <v>8</v>
      </c>
      <c r="H143" s="331">
        <v>8</v>
      </c>
      <c r="I143" s="331">
        <v>8</v>
      </c>
      <c r="J143" s="331">
        <v>8</v>
      </c>
      <c r="K143" s="331">
        <v>8</v>
      </c>
      <c r="L143" s="331">
        <v>10</v>
      </c>
      <c r="M143" s="331">
        <v>10</v>
      </c>
      <c r="N143" s="331">
        <v>10</v>
      </c>
      <c r="O143" s="255">
        <v>10</v>
      </c>
      <c r="P143" s="255">
        <v>8</v>
      </c>
      <c r="Q143" s="255">
        <v>8</v>
      </c>
      <c r="R143" s="255">
        <v>10</v>
      </c>
      <c r="S143" s="315">
        <v>10</v>
      </c>
      <c r="T143" s="173">
        <v>10</v>
      </c>
    </row>
    <row r="144" spans="1:20">
      <c r="A144" s="1091" t="s">
        <v>248</v>
      </c>
      <c r="B144" s="178" t="s">
        <v>190</v>
      </c>
      <c r="C144" s="180">
        <v>109</v>
      </c>
      <c r="D144" s="180">
        <v>137</v>
      </c>
      <c r="E144" s="180">
        <v>151</v>
      </c>
      <c r="F144" s="180">
        <v>144</v>
      </c>
      <c r="G144" s="180">
        <v>122</v>
      </c>
      <c r="H144" s="180">
        <v>176</v>
      </c>
      <c r="I144" s="180">
        <v>144</v>
      </c>
      <c r="J144" s="180">
        <v>147</v>
      </c>
      <c r="K144" s="180">
        <v>167</v>
      </c>
      <c r="L144" s="180">
        <v>131</v>
      </c>
      <c r="M144" s="180">
        <v>135</v>
      </c>
      <c r="N144" s="180">
        <v>150</v>
      </c>
      <c r="O144" s="266">
        <v>397</v>
      </c>
      <c r="P144" s="266">
        <v>442</v>
      </c>
      <c r="Q144" s="266">
        <v>458</v>
      </c>
      <c r="R144" s="266">
        <v>416</v>
      </c>
      <c r="S144" s="181">
        <v>1713</v>
      </c>
      <c r="T144" s="182"/>
    </row>
    <row r="145" spans="1:20">
      <c r="A145" s="1091"/>
      <c r="B145" s="177" t="s">
        <v>148</v>
      </c>
      <c r="C145" s="322">
        <v>147</v>
      </c>
      <c r="D145" s="322">
        <v>139</v>
      </c>
      <c r="E145" s="322">
        <v>199</v>
      </c>
      <c r="F145" s="322">
        <v>146</v>
      </c>
      <c r="G145" s="322">
        <v>158</v>
      </c>
      <c r="H145" s="322">
        <v>186</v>
      </c>
      <c r="I145" s="322">
        <v>180</v>
      </c>
      <c r="J145" s="322">
        <v>174</v>
      </c>
      <c r="K145" s="322">
        <v>212</v>
      </c>
      <c r="L145" s="322">
        <v>161</v>
      </c>
      <c r="M145" s="322">
        <v>200</v>
      </c>
      <c r="N145" s="322">
        <v>255</v>
      </c>
      <c r="O145" s="249">
        <v>485</v>
      </c>
      <c r="P145" s="249">
        <v>490</v>
      </c>
      <c r="Q145" s="249">
        <v>566</v>
      </c>
      <c r="R145" s="249">
        <v>616</v>
      </c>
      <c r="S145" s="332">
        <v>2157</v>
      </c>
      <c r="T145" s="183"/>
    </row>
    <row r="146" spans="1:20" ht="13.8" thickBot="1">
      <c r="A146" s="1092"/>
      <c r="B146" s="287" t="s">
        <v>45</v>
      </c>
      <c r="C146" s="316">
        <v>256</v>
      </c>
      <c r="D146" s="316">
        <v>276</v>
      </c>
      <c r="E146" s="316">
        <v>350</v>
      </c>
      <c r="F146" s="316">
        <v>290</v>
      </c>
      <c r="G146" s="316">
        <v>280</v>
      </c>
      <c r="H146" s="316">
        <v>362</v>
      </c>
      <c r="I146" s="316">
        <v>324</v>
      </c>
      <c r="J146" s="316">
        <v>321</v>
      </c>
      <c r="K146" s="316">
        <v>379</v>
      </c>
      <c r="L146" s="316">
        <v>292</v>
      </c>
      <c r="M146" s="316">
        <v>335</v>
      </c>
      <c r="N146" s="316">
        <v>405</v>
      </c>
      <c r="O146" s="316">
        <v>882</v>
      </c>
      <c r="P146" s="316">
        <v>932</v>
      </c>
      <c r="Q146" s="316">
        <v>1024</v>
      </c>
      <c r="R146" s="316">
        <v>1032</v>
      </c>
      <c r="S146" s="316">
        <v>3870</v>
      </c>
      <c r="T146" s="179">
        <v>74.42307692307692</v>
      </c>
    </row>
    <row r="147" spans="1:20">
      <c r="A147" s="1090" t="s">
        <v>245</v>
      </c>
      <c r="B147" s="184" t="s">
        <v>190</v>
      </c>
      <c r="C147" s="323">
        <v>1639</v>
      </c>
      <c r="D147" s="323">
        <v>2081</v>
      </c>
      <c r="E147" s="323">
        <v>2159</v>
      </c>
      <c r="F147" s="323">
        <v>2126</v>
      </c>
      <c r="G147" s="323">
        <v>1911</v>
      </c>
      <c r="H147" s="323">
        <v>2617</v>
      </c>
      <c r="I147" s="323">
        <v>2213</v>
      </c>
      <c r="J147" s="323">
        <v>2110</v>
      </c>
      <c r="K147" s="323">
        <v>2560</v>
      </c>
      <c r="L147" s="323">
        <v>1870</v>
      </c>
      <c r="M147" s="323">
        <v>2008</v>
      </c>
      <c r="N147" s="323">
        <v>2449</v>
      </c>
      <c r="O147" s="249">
        <v>5879</v>
      </c>
      <c r="P147" s="249">
        <v>6654</v>
      </c>
      <c r="Q147" s="249">
        <v>6883</v>
      </c>
      <c r="R147" s="249">
        <v>6327</v>
      </c>
      <c r="S147" s="333">
        <v>25743</v>
      </c>
      <c r="T147" s="182"/>
    </row>
    <row r="148" spans="1:20">
      <c r="A148" s="1091"/>
      <c r="B148" s="177" t="s">
        <v>148</v>
      </c>
      <c r="C148" s="322">
        <v>2358</v>
      </c>
      <c r="D148" s="322">
        <v>2279</v>
      </c>
      <c r="E148" s="322">
        <v>2975</v>
      </c>
      <c r="F148" s="322">
        <v>2079</v>
      </c>
      <c r="G148" s="322">
        <v>2299</v>
      </c>
      <c r="H148" s="322">
        <v>2826</v>
      </c>
      <c r="I148" s="322">
        <v>2722</v>
      </c>
      <c r="J148" s="322">
        <v>2497</v>
      </c>
      <c r="K148" s="322">
        <v>3252</v>
      </c>
      <c r="L148" s="322">
        <v>2538</v>
      </c>
      <c r="M148" s="322">
        <v>3084</v>
      </c>
      <c r="N148" s="322">
        <v>4178</v>
      </c>
      <c r="O148" s="249">
        <v>7612</v>
      </c>
      <c r="P148" s="249">
        <v>7204</v>
      </c>
      <c r="Q148" s="249">
        <v>8471</v>
      </c>
      <c r="R148" s="249">
        <v>9800</v>
      </c>
      <c r="S148" s="332">
        <v>33087</v>
      </c>
      <c r="T148" s="183"/>
    </row>
    <row r="149" spans="1:20" ht="13.8" thickBot="1">
      <c r="A149" s="1092"/>
      <c r="B149" s="287" t="s">
        <v>46</v>
      </c>
      <c r="C149" s="316">
        <v>3997</v>
      </c>
      <c r="D149" s="316">
        <v>4360</v>
      </c>
      <c r="E149" s="316">
        <v>5134</v>
      </c>
      <c r="F149" s="316">
        <v>4205</v>
      </c>
      <c r="G149" s="316">
        <v>4210</v>
      </c>
      <c r="H149" s="316">
        <v>5443</v>
      </c>
      <c r="I149" s="316">
        <v>4935</v>
      </c>
      <c r="J149" s="316">
        <v>4607</v>
      </c>
      <c r="K149" s="316">
        <v>5812</v>
      </c>
      <c r="L149" s="316">
        <v>4408</v>
      </c>
      <c r="M149" s="316">
        <v>5092</v>
      </c>
      <c r="N149" s="316">
        <v>6627</v>
      </c>
      <c r="O149" s="316">
        <v>13491</v>
      </c>
      <c r="P149" s="316">
        <v>13858</v>
      </c>
      <c r="Q149" s="316">
        <v>15354</v>
      </c>
      <c r="R149" s="316">
        <v>16127</v>
      </c>
      <c r="S149" s="316">
        <v>58830</v>
      </c>
      <c r="T149" s="179">
        <v>1131.3461538461538</v>
      </c>
    </row>
    <row r="150" spans="1:20">
      <c r="A150" s="1090" t="s">
        <v>249</v>
      </c>
      <c r="B150" s="184" t="s">
        <v>190</v>
      </c>
      <c r="C150" s="323">
        <v>80</v>
      </c>
      <c r="D150" s="323">
        <v>98</v>
      </c>
      <c r="E150" s="323">
        <v>99</v>
      </c>
      <c r="F150" s="323">
        <v>95</v>
      </c>
      <c r="G150" s="323">
        <v>82</v>
      </c>
      <c r="H150" s="323">
        <v>117</v>
      </c>
      <c r="I150" s="323">
        <v>94</v>
      </c>
      <c r="J150" s="323">
        <v>101</v>
      </c>
      <c r="K150" s="323">
        <v>115</v>
      </c>
      <c r="L150" s="323">
        <v>80</v>
      </c>
      <c r="M150" s="323">
        <v>85</v>
      </c>
      <c r="N150" s="323">
        <v>105</v>
      </c>
      <c r="O150" s="249">
        <v>277</v>
      </c>
      <c r="P150" s="249">
        <v>294</v>
      </c>
      <c r="Q150" s="249">
        <v>310</v>
      </c>
      <c r="R150" s="249">
        <v>270</v>
      </c>
      <c r="S150" s="333">
        <v>1151</v>
      </c>
      <c r="T150" s="187"/>
    </row>
    <row r="151" spans="1:20">
      <c r="A151" s="1091"/>
      <c r="B151" s="177" t="s">
        <v>148</v>
      </c>
      <c r="C151" s="322">
        <v>108</v>
      </c>
      <c r="D151" s="322">
        <v>101</v>
      </c>
      <c r="E151" s="322">
        <v>118</v>
      </c>
      <c r="F151" s="322">
        <v>88</v>
      </c>
      <c r="G151" s="322">
        <v>99</v>
      </c>
      <c r="H151" s="322">
        <v>117</v>
      </c>
      <c r="I151" s="322">
        <v>108</v>
      </c>
      <c r="J151" s="322">
        <v>115</v>
      </c>
      <c r="K151" s="322">
        <v>138</v>
      </c>
      <c r="L151" s="322">
        <v>99</v>
      </c>
      <c r="M151" s="322">
        <v>122</v>
      </c>
      <c r="N151" s="322">
        <v>184</v>
      </c>
      <c r="O151" s="249">
        <v>327</v>
      </c>
      <c r="P151" s="249">
        <v>304</v>
      </c>
      <c r="Q151" s="249">
        <v>361</v>
      </c>
      <c r="R151" s="249">
        <v>405</v>
      </c>
      <c r="S151" s="332">
        <v>1397</v>
      </c>
      <c r="T151" s="183"/>
    </row>
    <row r="152" spans="1:20" ht="13.8" thickBot="1">
      <c r="A152" s="1092"/>
      <c r="B152" s="287" t="s">
        <v>109</v>
      </c>
      <c r="C152" s="316">
        <v>188</v>
      </c>
      <c r="D152" s="316">
        <v>199</v>
      </c>
      <c r="E152" s="316">
        <v>217</v>
      </c>
      <c r="F152" s="316">
        <v>183</v>
      </c>
      <c r="G152" s="316">
        <v>181</v>
      </c>
      <c r="H152" s="316">
        <v>234</v>
      </c>
      <c r="I152" s="316">
        <v>202</v>
      </c>
      <c r="J152" s="316">
        <v>216</v>
      </c>
      <c r="K152" s="316">
        <v>253</v>
      </c>
      <c r="L152" s="316">
        <v>179</v>
      </c>
      <c r="M152" s="316">
        <v>207</v>
      </c>
      <c r="N152" s="316">
        <v>289</v>
      </c>
      <c r="O152" s="316">
        <v>604</v>
      </c>
      <c r="P152" s="316">
        <v>598</v>
      </c>
      <c r="Q152" s="316">
        <v>671</v>
      </c>
      <c r="R152" s="316">
        <v>675</v>
      </c>
      <c r="S152" s="316">
        <v>2548</v>
      </c>
      <c r="T152" s="179">
        <v>49</v>
      </c>
    </row>
    <row r="153" spans="1:20">
      <c r="A153" s="1090" t="s">
        <v>246</v>
      </c>
      <c r="B153" s="178" t="s">
        <v>190</v>
      </c>
      <c r="C153" s="322">
        <v>1319</v>
      </c>
      <c r="D153" s="322">
        <v>1659</v>
      </c>
      <c r="E153" s="322">
        <v>1577</v>
      </c>
      <c r="F153" s="322">
        <v>1562</v>
      </c>
      <c r="G153" s="322">
        <v>1426</v>
      </c>
      <c r="H153" s="322">
        <v>1976</v>
      </c>
      <c r="I153" s="322">
        <v>1627</v>
      </c>
      <c r="J153" s="322">
        <v>1562</v>
      </c>
      <c r="K153" s="322">
        <v>1884</v>
      </c>
      <c r="L153" s="322">
        <v>1311</v>
      </c>
      <c r="M153" s="322">
        <v>1451</v>
      </c>
      <c r="N153" s="322">
        <v>1817</v>
      </c>
      <c r="O153" s="249">
        <v>4555</v>
      </c>
      <c r="P153" s="249">
        <v>4964</v>
      </c>
      <c r="Q153" s="249">
        <v>5073</v>
      </c>
      <c r="R153" s="249">
        <v>4579</v>
      </c>
      <c r="S153" s="332">
        <v>19171</v>
      </c>
      <c r="T153" s="182"/>
    </row>
    <row r="154" spans="1:20">
      <c r="A154" s="1091"/>
      <c r="B154" s="177" t="s">
        <v>148</v>
      </c>
      <c r="C154" s="322">
        <v>1864</v>
      </c>
      <c r="D154" s="322">
        <v>1845</v>
      </c>
      <c r="E154" s="322">
        <v>2118</v>
      </c>
      <c r="F154" s="322">
        <v>1474</v>
      </c>
      <c r="G154" s="322">
        <v>1677</v>
      </c>
      <c r="H154" s="322">
        <v>2076</v>
      </c>
      <c r="I154" s="322">
        <v>1883</v>
      </c>
      <c r="J154" s="322">
        <v>1863</v>
      </c>
      <c r="K154" s="322">
        <v>2333</v>
      </c>
      <c r="L154" s="322">
        <v>1811</v>
      </c>
      <c r="M154" s="322">
        <v>2200</v>
      </c>
      <c r="N154" s="322">
        <v>3161</v>
      </c>
      <c r="O154" s="249">
        <v>5827</v>
      </c>
      <c r="P154" s="249">
        <v>5227</v>
      </c>
      <c r="Q154" s="249">
        <v>6079</v>
      </c>
      <c r="R154" s="249">
        <v>7172</v>
      </c>
      <c r="S154" s="332">
        <v>24305</v>
      </c>
      <c r="T154" s="183"/>
    </row>
    <row r="155" spans="1:20" ht="13.8" thickBot="1">
      <c r="A155" s="1092"/>
      <c r="B155" s="287" t="s">
        <v>47</v>
      </c>
      <c r="C155" s="316">
        <v>3183</v>
      </c>
      <c r="D155" s="316">
        <v>3504</v>
      </c>
      <c r="E155" s="316">
        <v>3695</v>
      </c>
      <c r="F155" s="316">
        <v>3036</v>
      </c>
      <c r="G155" s="316">
        <v>3103</v>
      </c>
      <c r="H155" s="316">
        <v>4052</v>
      </c>
      <c r="I155" s="316">
        <v>3510</v>
      </c>
      <c r="J155" s="316">
        <v>3425</v>
      </c>
      <c r="K155" s="316">
        <v>4217</v>
      </c>
      <c r="L155" s="316">
        <v>3122</v>
      </c>
      <c r="M155" s="316">
        <v>3651</v>
      </c>
      <c r="N155" s="316">
        <v>4978</v>
      </c>
      <c r="O155" s="316">
        <v>10382</v>
      </c>
      <c r="P155" s="316">
        <v>10191</v>
      </c>
      <c r="Q155" s="316">
        <v>11152</v>
      </c>
      <c r="R155" s="316">
        <v>11751</v>
      </c>
      <c r="S155" s="316">
        <v>43476</v>
      </c>
      <c r="T155" s="179">
        <v>836.07692307692309</v>
      </c>
    </row>
    <row r="156" spans="1:20">
      <c r="A156" s="1090" t="s">
        <v>251</v>
      </c>
      <c r="B156" s="184" t="s">
        <v>190</v>
      </c>
      <c r="C156" s="323">
        <v>1487</v>
      </c>
      <c r="D156" s="323">
        <v>1569</v>
      </c>
      <c r="E156" s="323">
        <v>1614</v>
      </c>
      <c r="F156" s="323">
        <v>1570</v>
      </c>
      <c r="G156" s="323">
        <v>1278</v>
      </c>
      <c r="H156" s="323">
        <v>2047</v>
      </c>
      <c r="I156" s="323">
        <v>1723</v>
      </c>
      <c r="J156" s="323">
        <v>1700</v>
      </c>
      <c r="K156" s="323">
        <v>2084</v>
      </c>
      <c r="L156" s="323">
        <v>1577</v>
      </c>
      <c r="M156" s="323">
        <v>1654</v>
      </c>
      <c r="N156" s="323">
        <v>1886</v>
      </c>
      <c r="O156" s="249">
        <v>4670</v>
      </c>
      <c r="P156" s="249">
        <v>4895</v>
      </c>
      <c r="Q156" s="249">
        <v>5507</v>
      </c>
      <c r="R156" s="249">
        <v>5117</v>
      </c>
      <c r="S156" s="333">
        <v>20189</v>
      </c>
      <c r="T156" s="182"/>
    </row>
    <row r="157" spans="1:20">
      <c r="A157" s="1091"/>
      <c r="B157" s="177" t="s">
        <v>148</v>
      </c>
      <c r="C157" s="322">
        <v>1672</v>
      </c>
      <c r="D157" s="322">
        <v>1634</v>
      </c>
      <c r="E157" s="322">
        <v>1512</v>
      </c>
      <c r="F157" s="322">
        <v>1413</v>
      </c>
      <c r="G157" s="322">
        <v>1734</v>
      </c>
      <c r="H157" s="322">
        <v>1667</v>
      </c>
      <c r="I157" s="322">
        <v>1686</v>
      </c>
      <c r="J157" s="322">
        <v>1686</v>
      </c>
      <c r="K157" s="322">
        <v>2324</v>
      </c>
      <c r="L157" s="322">
        <v>1863</v>
      </c>
      <c r="M157" s="322">
        <v>2059</v>
      </c>
      <c r="N157" s="322">
        <v>3123</v>
      </c>
      <c r="O157" s="249">
        <v>4818</v>
      </c>
      <c r="P157" s="249">
        <v>4814</v>
      </c>
      <c r="Q157" s="249">
        <v>5696</v>
      </c>
      <c r="R157" s="249">
        <v>7045</v>
      </c>
      <c r="S157" s="332">
        <v>22373</v>
      </c>
      <c r="T157" s="183"/>
    </row>
    <row r="158" spans="1:20" ht="13.8" thickBot="1">
      <c r="A158" s="1092"/>
      <c r="B158" s="287" t="s">
        <v>241</v>
      </c>
      <c r="C158" s="288">
        <v>3159</v>
      </c>
      <c r="D158" s="288">
        <v>3203</v>
      </c>
      <c r="E158" s="288">
        <v>3126</v>
      </c>
      <c r="F158" s="288">
        <v>2983</v>
      </c>
      <c r="G158" s="288">
        <v>3012</v>
      </c>
      <c r="H158" s="316">
        <v>3714</v>
      </c>
      <c r="I158" s="288">
        <v>3409</v>
      </c>
      <c r="J158" s="288">
        <v>3386</v>
      </c>
      <c r="K158" s="288">
        <v>4408</v>
      </c>
      <c r="L158" s="288">
        <v>3440</v>
      </c>
      <c r="M158" s="288">
        <v>3713</v>
      </c>
      <c r="N158" s="288">
        <v>5009</v>
      </c>
      <c r="O158" s="316">
        <v>9488</v>
      </c>
      <c r="P158" s="316">
        <v>9709</v>
      </c>
      <c r="Q158" s="316">
        <v>11203</v>
      </c>
      <c r="R158" s="316">
        <v>12162</v>
      </c>
      <c r="S158" s="288">
        <v>42562</v>
      </c>
      <c r="T158" s="179">
        <v>818.5</v>
      </c>
    </row>
    <row r="159" spans="1:20">
      <c r="A159" s="1091" t="s">
        <v>260</v>
      </c>
      <c r="B159" s="178" t="s">
        <v>265</v>
      </c>
      <c r="C159" s="322">
        <v>12</v>
      </c>
      <c r="D159" s="322">
        <v>10</v>
      </c>
      <c r="E159" s="322">
        <v>8</v>
      </c>
      <c r="F159" s="322">
        <v>16</v>
      </c>
      <c r="G159" s="322">
        <v>19</v>
      </c>
      <c r="H159" s="322">
        <v>25</v>
      </c>
      <c r="I159" s="322">
        <v>26</v>
      </c>
      <c r="J159" s="322">
        <v>21</v>
      </c>
      <c r="K159" s="322">
        <v>26</v>
      </c>
      <c r="L159" s="322">
        <v>27</v>
      </c>
      <c r="M159" s="322">
        <v>28</v>
      </c>
      <c r="N159" s="322">
        <v>26</v>
      </c>
      <c r="O159" s="249">
        <v>30</v>
      </c>
      <c r="P159" s="249">
        <v>60</v>
      </c>
      <c r="Q159" s="249">
        <v>73</v>
      </c>
      <c r="R159" s="249">
        <v>81</v>
      </c>
      <c r="S159" s="181">
        <v>244</v>
      </c>
      <c r="T159" s="182"/>
    </row>
    <row r="160" spans="1:20">
      <c r="A160" s="1091"/>
      <c r="B160" s="177" t="s">
        <v>148</v>
      </c>
      <c r="C160" s="322">
        <v>244</v>
      </c>
      <c r="D160" s="322">
        <v>214</v>
      </c>
      <c r="E160" s="322">
        <v>230</v>
      </c>
      <c r="F160" s="322">
        <v>190</v>
      </c>
      <c r="G160" s="322">
        <v>207</v>
      </c>
      <c r="H160" s="322">
        <v>228</v>
      </c>
      <c r="I160" s="322">
        <v>243</v>
      </c>
      <c r="J160" s="322">
        <v>251</v>
      </c>
      <c r="K160" s="322">
        <v>295</v>
      </c>
      <c r="L160" s="322">
        <v>223</v>
      </c>
      <c r="M160" s="322">
        <v>289</v>
      </c>
      <c r="N160" s="322">
        <v>407</v>
      </c>
      <c r="O160" s="249">
        <v>688</v>
      </c>
      <c r="P160" s="249">
        <v>625</v>
      </c>
      <c r="Q160" s="249">
        <v>789</v>
      </c>
      <c r="R160" s="249">
        <v>919</v>
      </c>
      <c r="S160" s="181">
        <v>3021</v>
      </c>
      <c r="T160" s="183"/>
    </row>
    <row r="161" spans="1:20">
      <c r="A161" s="1091"/>
      <c r="B161" s="289" t="s">
        <v>270</v>
      </c>
      <c r="C161" s="290">
        <v>256</v>
      </c>
      <c r="D161" s="290">
        <v>224</v>
      </c>
      <c r="E161" s="290">
        <v>238</v>
      </c>
      <c r="F161" s="290">
        <v>206</v>
      </c>
      <c r="G161" s="290">
        <v>226</v>
      </c>
      <c r="H161" s="290">
        <v>253</v>
      </c>
      <c r="I161" s="290">
        <v>269</v>
      </c>
      <c r="J161" s="290">
        <v>272</v>
      </c>
      <c r="K161" s="290">
        <v>321</v>
      </c>
      <c r="L161" s="290">
        <v>250</v>
      </c>
      <c r="M161" s="290">
        <v>317</v>
      </c>
      <c r="N161" s="290">
        <v>433</v>
      </c>
      <c r="O161" s="324">
        <v>718</v>
      </c>
      <c r="P161" s="324">
        <v>685</v>
      </c>
      <c r="Q161" s="324">
        <v>862</v>
      </c>
      <c r="R161" s="324">
        <v>1000</v>
      </c>
      <c r="S161" s="339">
        <v>3265</v>
      </c>
      <c r="T161" s="145"/>
    </row>
    <row r="162" spans="1:20">
      <c r="A162" s="1091"/>
      <c r="B162" s="289" t="s">
        <v>264</v>
      </c>
      <c r="C162" s="340">
        <v>51</v>
      </c>
      <c r="D162" s="340">
        <v>53</v>
      </c>
      <c r="E162" s="340">
        <v>63</v>
      </c>
      <c r="F162" s="340">
        <v>59</v>
      </c>
      <c r="G162" s="340">
        <v>39</v>
      </c>
      <c r="H162" s="340">
        <v>51</v>
      </c>
      <c r="I162" s="340">
        <v>32</v>
      </c>
      <c r="J162" s="340">
        <v>32</v>
      </c>
      <c r="K162" s="340">
        <v>37</v>
      </c>
      <c r="L162" s="340">
        <v>24</v>
      </c>
      <c r="M162" s="340">
        <v>25</v>
      </c>
      <c r="N162" s="340">
        <v>25</v>
      </c>
      <c r="O162" s="324">
        <v>167</v>
      </c>
      <c r="P162" s="324">
        <v>149</v>
      </c>
      <c r="Q162" s="324">
        <v>101</v>
      </c>
      <c r="R162" s="324">
        <v>74</v>
      </c>
      <c r="S162" s="339">
        <v>491</v>
      </c>
      <c r="T162" s="145"/>
    </row>
    <row r="163" spans="1:20">
      <c r="A163" s="1091"/>
      <c r="B163" s="289" t="s">
        <v>266</v>
      </c>
      <c r="C163" s="290">
        <v>152</v>
      </c>
      <c r="D163" s="290">
        <v>173</v>
      </c>
      <c r="E163" s="290">
        <v>164</v>
      </c>
      <c r="F163" s="290">
        <v>157</v>
      </c>
      <c r="G163" s="290">
        <v>132</v>
      </c>
      <c r="H163" s="290">
        <v>209</v>
      </c>
      <c r="I163" s="290">
        <v>173</v>
      </c>
      <c r="J163" s="290">
        <v>176</v>
      </c>
      <c r="K163" s="290">
        <v>213</v>
      </c>
      <c r="L163" s="290">
        <v>161</v>
      </c>
      <c r="M163" s="290">
        <v>154</v>
      </c>
      <c r="N163" s="290">
        <v>201</v>
      </c>
      <c r="O163" s="324">
        <v>489</v>
      </c>
      <c r="P163" s="324">
        <v>498</v>
      </c>
      <c r="Q163" s="324">
        <v>562</v>
      </c>
      <c r="R163" s="324">
        <v>516</v>
      </c>
      <c r="S163" s="339">
        <v>2065</v>
      </c>
      <c r="T163" s="145"/>
    </row>
    <row r="164" spans="1:20" ht="13.8" thickBot="1">
      <c r="A164" s="1092"/>
      <c r="B164" s="287" t="s">
        <v>269</v>
      </c>
      <c r="C164" s="288">
        <v>459</v>
      </c>
      <c r="D164" s="288">
        <v>450</v>
      </c>
      <c r="E164" s="288">
        <v>465</v>
      </c>
      <c r="F164" s="288">
        <v>422</v>
      </c>
      <c r="G164" s="288">
        <v>397</v>
      </c>
      <c r="H164" s="288">
        <v>513</v>
      </c>
      <c r="I164" s="288">
        <v>474</v>
      </c>
      <c r="J164" s="288">
        <v>480</v>
      </c>
      <c r="K164" s="288">
        <v>571</v>
      </c>
      <c r="L164" s="288">
        <v>435</v>
      </c>
      <c r="M164" s="288">
        <v>496</v>
      </c>
      <c r="N164" s="288">
        <v>659</v>
      </c>
      <c r="O164" s="316">
        <v>1374</v>
      </c>
      <c r="P164" s="316">
        <v>1332</v>
      </c>
      <c r="Q164" s="316">
        <v>1525</v>
      </c>
      <c r="R164" s="316">
        <v>1590</v>
      </c>
      <c r="S164" s="316">
        <v>5821</v>
      </c>
      <c r="T164" s="179">
        <v>111.94230769230769</v>
      </c>
    </row>
    <row r="165" spans="1:20">
      <c r="A165" s="1087" t="s">
        <v>268</v>
      </c>
      <c r="B165" s="312" t="s">
        <v>250</v>
      </c>
      <c r="C165" s="334">
        <v>68</v>
      </c>
      <c r="D165" s="334">
        <v>77</v>
      </c>
      <c r="E165" s="334">
        <v>133</v>
      </c>
      <c r="F165" s="334">
        <v>107</v>
      </c>
      <c r="G165" s="334">
        <v>99</v>
      </c>
      <c r="H165" s="334">
        <v>128</v>
      </c>
      <c r="I165" s="334">
        <v>122</v>
      </c>
      <c r="J165" s="334">
        <v>105</v>
      </c>
      <c r="K165" s="334">
        <v>126</v>
      </c>
      <c r="L165" s="334">
        <v>113</v>
      </c>
      <c r="M165" s="334">
        <v>128</v>
      </c>
      <c r="N165" s="334">
        <v>116</v>
      </c>
      <c r="O165" s="313">
        <v>278</v>
      </c>
      <c r="P165" s="313">
        <v>334</v>
      </c>
      <c r="Q165" s="313">
        <v>353</v>
      </c>
      <c r="R165" s="313">
        <v>357</v>
      </c>
      <c r="S165" s="313">
        <v>1322</v>
      </c>
      <c r="T165" s="338">
        <v>25.42307692307692</v>
      </c>
    </row>
    <row r="166" spans="1:20">
      <c r="A166" s="1088"/>
      <c r="B166" s="312" t="s">
        <v>247</v>
      </c>
      <c r="C166" s="334">
        <v>814</v>
      </c>
      <c r="D166" s="334">
        <v>856</v>
      </c>
      <c r="E166" s="334">
        <v>1439</v>
      </c>
      <c r="F166" s="334">
        <v>1169</v>
      </c>
      <c r="G166" s="334">
        <v>1107</v>
      </c>
      <c r="H166" s="334">
        <v>1391</v>
      </c>
      <c r="I166" s="334">
        <v>1425</v>
      </c>
      <c r="J166" s="334">
        <v>1182</v>
      </c>
      <c r="K166" s="334">
        <v>1595</v>
      </c>
      <c r="L166" s="334">
        <v>1286</v>
      </c>
      <c r="M166" s="334">
        <v>1441</v>
      </c>
      <c r="N166" s="334">
        <v>1649</v>
      </c>
      <c r="O166" s="313">
        <v>3109</v>
      </c>
      <c r="P166" s="313">
        <v>3667</v>
      </c>
      <c r="Q166" s="313">
        <v>4202</v>
      </c>
      <c r="R166" s="313">
        <v>4376</v>
      </c>
      <c r="S166" s="313">
        <v>15354</v>
      </c>
      <c r="T166" s="338">
        <v>295.26923076923072</v>
      </c>
    </row>
    <row r="167" spans="1:20">
      <c r="A167" s="1089"/>
      <c r="B167" s="312" t="s">
        <v>261</v>
      </c>
      <c r="C167" s="335">
        <v>11.970588235294118</v>
      </c>
      <c r="D167" s="335">
        <v>11.116883116883116</v>
      </c>
      <c r="E167" s="335">
        <v>10.819548872180452</v>
      </c>
      <c r="F167" s="335">
        <v>10.925233644859814</v>
      </c>
      <c r="G167" s="335">
        <v>11.181818181818182</v>
      </c>
      <c r="H167" s="335">
        <v>10.8671875</v>
      </c>
      <c r="I167" s="335">
        <v>11.680327868852459</v>
      </c>
      <c r="J167" s="335">
        <v>11.257142857142858</v>
      </c>
      <c r="K167" s="335">
        <v>12.658730158730158</v>
      </c>
      <c r="L167" s="335">
        <v>11.380530973451327</v>
      </c>
      <c r="M167" s="335">
        <v>11.2578125</v>
      </c>
      <c r="N167" s="335">
        <v>14.21551724137931</v>
      </c>
      <c r="O167" s="335">
        <v>11.183453237410072</v>
      </c>
      <c r="P167" s="335">
        <v>10.979041916167665</v>
      </c>
      <c r="Q167" s="335">
        <v>11.903682719546742</v>
      </c>
      <c r="R167" s="335">
        <v>12.257703081232494</v>
      </c>
      <c r="S167" s="335">
        <v>11.614220877458397</v>
      </c>
      <c r="T167" s="524">
        <v>11.614220877458395</v>
      </c>
    </row>
    <row r="168" spans="1:20" ht="6" customHeight="1" thickBot="1">
      <c r="A168" s="258"/>
      <c r="B168" s="259"/>
      <c r="C168" s="259"/>
      <c r="D168" s="259"/>
      <c r="E168" s="259"/>
      <c r="F168" s="259"/>
      <c r="G168" s="259"/>
      <c r="H168" s="259"/>
      <c r="I168" s="259"/>
      <c r="J168" s="259"/>
      <c r="K168" s="259"/>
      <c r="L168" s="259"/>
      <c r="M168" s="259"/>
      <c r="N168" s="259"/>
      <c r="O168" s="260"/>
      <c r="P168" s="260"/>
      <c r="Q168" s="260"/>
      <c r="R168" s="260"/>
      <c r="S168" s="261"/>
      <c r="T168" s="171"/>
    </row>
    <row r="169" spans="1:20" ht="12.75" customHeight="1">
      <c r="A169" s="1100" t="s">
        <v>393</v>
      </c>
      <c r="B169" s="286" t="s">
        <v>187</v>
      </c>
      <c r="C169" s="284">
        <v>5</v>
      </c>
      <c r="D169" s="284">
        <v>4</v>
      </c>
      <c r="E169" s="284">
        <v>5</v>
      </c>
      <c r="F169" s="284">
        <v>4</v>
      </c>
      <c r="G169" s="284">
        <v>4</v>
      </c>
      <c r="H169" s="284">
        <v>4</v>
      </c>
      <c r="I169" s="284">
        <v>4</v>
      </c>
      <c r="J169" s="284">
        <v>4</v>
      </c>
      <c r="K169" s="284">
        <v>5</v>
      </c>
      <c r="L169" s="284">
        <v>4</v>
      </c>
      <c r="M169" s="284">
        <v>4</v>
      </c>
      <c r="N169" s="284">
        <v>5</v>
      </c>
      <c r="O169" s="317">
        <v>14</v>
      </c>
      <c r="P169" s="317">
        <v>12</v>
      </c>
      <c r="Q169" s="317">
        <v>13</v>
      </c>
      <c r="R169" s="317">
        <v>13</v>
      </c>
      <c r="S169" s="321">
        <v>52</v>
      </c>
      <c r="T169" s="145"/>
    </row>
    <row r="170" spans="1:20" ht="13.5" customHeight="1" thickBot="1">
      <c r="A170" s="1101"/>
      <c r="B170" s="230" t="s">
        <v>244</v>
      </c>
      <c r="C170" s="191">
        <v>2</v>
      </c>
      <c r="D170" s="245">
        <v>2</v>
      </c>
      <c r="E170" s="245">
        <v>2</v>
      </c>
      <c r="F170" s="245">
        <v>2</v>
      </c>
      <c r="G170" s="245">
        <v>2</v>
      </c>
      <c r="H170" s="245">
        <v>2</v>
      </c>
      <c r="I170" s="245">
        <v>2</v>
      </c>
      <c r="J170" s="245">
        <v>2</v>
      </c>
      <c r="K170" s="245">
        <v>2</v>
      </c>
      <c r="L170" s="245">
        <v>2</v>
      </c>
      <c r="M170" s="245">
        <v>2</v>
      </c>
      <c r="N170" s="245">
        <v>2</v>
      </c>
      <c r="O170" s="255">
        <v>2</v>
      </c>
      <c r="P170" s="255">
        <v>2</v>
      </c>
      <c r="Q170" s="255">
        <v>2</v>
      </c>
      <c r="R170" s="255">
        <v>2</v>
      </c>
      <c r="S170" s="315">
        <v>2</v>
      </c>
      <c r="T170" s="173">
        <v>2</v>
      </c>
    </row>
    <row r="171" spans="1:20">
      <c r="A171" s="1091" t="s">
        <v>248</v>
      </c>
      <c r="B171" s="178" t="s">
        <v>190</v>
      </c>
      <c r="C171" s="180">
        <v>0</v>
      </c>
      <c r="D171" s="180">
        <v>0</v>
      </c>
      <c r="E171" s="180">
        <v>0</v>
      </c>
      <c r="F171" s="180">
        <v>0</v>
      </c>
      <c r="G171" s="180">
        <v>0</v>
      </c>
      <c r="H171" s="180">
        <v>0</v>
      </c>
      <c r="I171" s="180">
        <v>0</v>
      </c>
      <c r="J171" s="180">
        <v>0</v>
      </c>
      <c r="K171" s="180">
        <v>0</v>
      </c>
      <c r="L171" s="180">
        <v>0</v>
      </c>
      <c r="M171" s="180">
        <v>0</v>
      </c>
      <c r="N171" s="180">
        <v>0</v>
      </c>
      <c r="O171" s="265">
        <v>0</v>
      </c>
      <c r="P171" s="265">
        <v>0</v>
      </c>
      <c r="Q171" s="265">
        <v>0</v>
      </c>
      <c r="R171" s="265">
        <v>0</v>
      </c>
      <c r="S171" s="332">
        <v>0</v>
      </c>
      <c r="T171" s="182"/>
    </row>
    <row r="172" spans="1:20">
      <c r="A172" s="1091"/>
      <c r="B172" s="177" t="s">
        <v>148</v>
      </c>
      <c r="C172" s="322">
        <v>49</v>
      </c>
      <c r="D172" s="322">
        <v>37</v>
      </c>
      <c r="E172" s="322">
        <v>43</v>
      </c>
      <c r="F172" s="322">
        <v>44</v>
      </c>
      <c r="G172" s="322">
        <v>38</v>
      </c>
      <c r="H172" s="322">
        <v>45</v>
      </c>
      <c r="I172" s="322">
        <v>56</v>
      </c>
      <c r="J172" s="322">
        <v>75</v>
      </c>
      <c r="K172" s="322">
        <v>84</v>
      </c>
      <c r="L172" s="322">
        <v>64</v>
      </c>
      <c r="M172" s="322">
        <v>83</v>
      </c>
      <c r="N172" s="322">
        <v>111</v>
      </c>
      <c r="O172" s="249">
        <v>129</v>
      </c>
      <c r="P172" s="249">
        <v>127</v>
      </c>
      <c r="Q172" s="249">
        <v>215</v>
      </c>
      <c r="R172" s="249">
        <v>258</v>
      </c>
      <c r="S172" s="332">
        <v>729</v>
      </c>
      <c r="T172" s="183"/>
    </row>
    <row r="173" spans="1:20" ht="13.8" thickBot="1">
      <c r="A173" s="1092"/>
      <c r="B173" s="287" t="s">
        <v>45</v>
      </c>
      <c r="C173" s="288">
        <v>49</v>
      </c>
      <c r="D173" s="288">
        <v>37</v>
      </c>
      <c r="E173" s="288">
        <v>43</v>
      </c>
      <c r="F173" s="288">
        <v>44</v>
      </c>
      <c r="G173" s="316">
        <v>38</v>
      </c>
      <c r="H173" s="316">
        <v>45</v>
      </c>
      <c r="I173" s="316">
        <v>56</v>
      </c>
      <c r="J173" s="316">
        <v>75</v>
      </c>
      <c r="K173" s="316">
        <v>84</v>
      </c>
      <c r="L173" s="316">
        <v>64</v>
      </c>
      <c r="M173" s="316">
        <v>83</v>
      </c>
      <c r="N173" s="316">
        <v>111</v>
      </c>
      <c r="O173" s="316">
        <v>129</v>
      </c>
      <c r="P173" s="316">
        <v>127</v>
      </c>
      <c r="Q173" s="316">
        <v>215</v>
      </c>
      <c r="R173" s="316">
        <v>258</v>
      </c>
      <c r="S173" s="316">
        <v>729</v>
      </c>
      <c r="T173" s="179">
        <v>14.01923076923077</v>
      </c>
    </row>
    <row r="174" spans="1:20">
      <c r="A174" s="1090" t="s">
        <v>245</v>
      </c>
      <c r="B174" s="184" t="s">
        <v>190</v>
      </c>
      <c r="C174" s="180">
        <v>0</v>
      </c>
      <c r="D174" s="180">
        <v>0</v>
      </c>
      <c r="E174" s="180">
        <v>0</v>
      </c>
      <c r="F174" s="180">
        <v>0</v>
      </c>
      <c r="G174" s="322">
        <v>0</v>
      </c>
      <c r="H174" s="322">
        <v>0</v>
      </c>
      <c r="I174" s="322">
        <v>0</v>
      </c>
      <c r="J174" s="322">
        <v>0</v>
      </c>
      <c r="K174" s="322">
        <v>0</v>
      </c>
      <c r="L174" s="322">
        <v>0</v>
      </c>
      <c r="M174" s="322">
        <v>0</v>
      </c>
      <c r="N174" s="322">
        <v>0</v>
      </c>
      <c r="O174" s="249">
        <v>0</v>
      </c>
      <c r="P174" s="249">
        <v>0</v>
      </c>
      <c r="Q174" s="249">
        <v>0</v>
      </c>
      <c r="R174" s="249">
        <v>0</v>
      </c>
      <c r="S174" s="333">
        <v>0</v>
      </c>
      <c r="T174" s="182"/>
    </row>
    <row r="175" spans="1:20">
      <c r="A175" s="1091"/>
      <c r="B175" s="177" t="s">
        <v>498</v>
      </c>
      <c r="C175" s="322">
        <v>724</v>
      </c>
      <c r="D175" s="322">
        <v>484</v>
      </c>
      <c r="E175" s="322">
        <v>498</v>
      </c>
      <c r="F175" s="322">
        <v>563</v>
      </c>
      <c r="G175" s="322">
        <v>551</v>
      </c>
      <c r="H175" s="322">
        <v>583</v>
      </c>
      <c r="I175" s="322">
        <v>687</v>
      </c>
      <c r="J175" s="322">
        <v>830</v>
      </c>
      <c r="K175" s="322">
        <v>1312</v>
      </c>
      <c r="L175" s="322">
        <v>923</v>
      </c>
      <c r="M175" s="322">
        <v>1170</v>
      </c>
      <c r="N175" s="322">
        <v>1555</v>
      </c>
      <c r="O175" s="249">
        <v>1706</v>
      </c>
      <c r="P175" s="249">
        <v>1697</v>
      </c>
      <c r="Q175" s="249">
        <v>2829</v>
      </c>
      <c r="R175" s="249">
        <v>3648</v>
      </c>
      <c r="S175" s="332">
        <v>9880</v>
      </c>
      <c r="T175" s="183"/>
    </row>
    <row r="176" spans="1:20" ht="13.8" thickBot="1">
      <c r="A176" s="1092"/>
      <c r="B176" s="287" t="s">
        <v>46</v>
      </c>
      <c r="C176" s="288">
        <v>724</v>
      </c>
      <c r="D176" s="288">
        <v>484</v>
      </c>
      <c r="E176" s="288">
        <v>498</v>
      </c>
      <c r="F176" s="288">
        <v>563</v>
      </c>
      <c r="G176" s="316">
        <v>551</v>
      </c>
      <c r="H176" s="316">
        <v>583</v>
      </c>
      <c r="I176" s="316">
        <v>687</v>
      </c>
      <c r="J176" s="316">
        <v>830</v>
      </c>
      <c r="K176" s="316">
        <v>1312</v>
      </c>
      <c r="L176" s="316">
        <v>923</v>
      </c>
      <c r="M176" s="316">
        <v>1170</v>
      </c>
      <c r="N176" s="316">
        <v>1555</v>
      </c>
      <c r="O176" s="316">
        <v>1706</v>
      </c>
      <c r="P176" s="316">
        <v>1697</v>
      </c>
      <c r="Q176" s="316">
        <v>2829</v>
      </c>
      <c r="R176" s="316">
        <v>3648</v>
      </c>
      <c r="S176" s="316">
        <v>9880</v>
      </c>
      <c r="T176" s="179">
        <v>190</v>
      </c>
    </row>
    <row r="177" spans="1:20">
      <c r="A177" s="1090" t="s">
        <v>249</v>
      </c>
      <c r="B177" s="184" t="s">
        <v>190</v>
      </c>
      <c r="C177" s="180">
        <v>0</v>
      </c>
      <c r="D177" s="180">
        <v>0</v>
      </c>
      <c r="E177" s="180">
        <v>0</v>
      </c>
      <c r="F177" s="180">
        <v>0</v>
      </c>
      <c r="G177" s="322">
        <v>0</v>
      </c>
      <c r="H177" s="322">
        <v>0</v>
      </c>
      <c r="I177" s="322">
        <v>0</v>
      </c>
      <c r="J177" s="322">
        <v>0</v>
      </c>
      <c r="K177" s="322">
        <v>0</v>
      </c>
      <c r="L177" s="322">
        <v>0</v>
      </c>
      <c r="M177" s="322">
        <v>0</v>
      </c>
      <c r="N177" s="322">
        <v>0</v>
      </c>
      <c r="O177" s="249">
        <v>0</v>
      </c>
      <c r="P177" s="249">
        <v>0</v>
      </c>
      <c r="Q177" s="249">
        <v>0</v>
      </c>
      <c r="R177" s="249">
        <v>0</v>
      </c>
      <c r="S177" s="333">
        <v>0</v>
      </c>
      <c r="T177" s="187"/>
    </row>
    <row r="178" spans="1:20">
      <c r="A178" s="1091"/>
      <c r="B178" s="177" t="s">
        <v>148</v>
      </c>
      <c r="C178" s="322">
        <v>30</v>
      </c>
      <c r="D178" s="322">
        <v>21</v>
      </c>
      <c r="E178" s="322">
        <v>18</v>
      </c>
      <c r="F178" s="322">
        <v>20</v>
      </c>
      <c r="G178" s="322">
        <v>20</v>
      </c>
      <c r="H178" s="322">
        <v>20</v>
      </c>
      <c r="I178" s="322">
        <v>23</v>
      </c>
      <c r="J178" s="322">
        <v>28</v>
      </c>
      <c r="K178" s="322">
        <v>52</v>
      </c>
      <c r="L178" s="322">
        <v>33</v>
      </c>
      <c r="M178" s="322">
        <v>46</v>
      </c>
      <c r="N178" s="322">
        <v>54</v>
      </c>
      <c r="O178" s="249">
        <v>69</v>
      </c>
      <c r="P178" s="249">
        <v>60</v>
      </c>
      <c r="Q178" s="249">
        <v>103</v>
      </c>
      <c r="R178" s="249">
        <v>133</v>
      </c>
      <c r="S178" s="332">
        <v>365</v>
      </c>
      <c r="T178" s="183"/>
    </row>
    <row r="179" spans="1:20" ht="13.8" thickBot="1">
      <c r="A179" s="1092"/>
      <c r="B179" s="287" t="s">
        <v>109</v>
      </c>
      <c r="C179" s="288">
        <v>30</v>
      </c>
      <c r="D179" s="288">
        <v>21</v>
      </c>
      <c r="E179" s="288">
        <v>18</v>
      </c>
      <c r="F179" s="288">
        <v>20</v>
      </c>
      <c r="G179" s="316">
        <v>20</v>
      </c>
      <c r="H179" s="316">
        <v>20</v>
      </c>
      <c r="I179" s="316">
        <v>23</v>
      </c>
      <c r="J179" s="316">
        <v>28</v>
      </c>
      <c r="K179" s="316">
        <v>52</v>
      </c>
      <c r="L179" s="316">
        <v>33</v>
      </c>
      <c r="M179" s="316">
        <v>46</v>
      </c>
      <c r="N179" s="316">
        <v>54</v>
      </c>
      <c r="O179" s="316">
        <v>69</v>
      </c>
      <c r="P179" s="316">
        <v>60</v>
      </c>
      <c r="Q179" s="316">
        <v>103</v>
      </c>
      <c r="R179" s="316">
        <v>133</v>
      </c>
      <c r="S179" s="316">
        <v>365</v>
      </c>
      <c r="T179" s="179">
        <v>7.0192307692307692</v>
      </c>
    </row>
    <row r="180" spans="1:20">
      <c r="A180" s="1090" t="s">
        <v>246</v>
      </c>
      <c r="B180" s="178" t="s">
        <v>190</v>
      </c>
      <c r="C180" s="180">
        <v>0</v>
      </c>
      <c r="D180" s="180">
        <v>0</v>
      </c>
      <c r="E180" s="180">
        <v>0</v>
      </c>
      <c r="F180" s="180">
        <v>0</v>
      </c>
      <c r="G180" s="322">
        <v>0</v>
      </c>
      <c r="H180" s="322">
        <v>0</v>
      </c>
      <c r="I180" s="322">
        <v>0</v>
      </c>
      <c r="J180" s="322">
        <v>0</v>
      </c>
      <c r="K180" s="322">
        <v>0</v>
      </c>
      <c r="L180" s="322">
        <v>0</v>
      </c>
      <c r="M180" s="322">
        <v>0</v>
      </c>
      <c r="N180" s="322">
        <v>0</v>
      </c>
      <c r="O180" s="249">
        <v>0</v>
      </c>
      <c r="P180" s="249">
        <v>0</v>
      </c>
      <c r="Q180" s="249">
        <v>0</v>
      </c>
      <c r="R180" s="249">
        <v>0</v>
      </c>
      <c r="S180" s="332">
        <v>0</v>
      </c>
      <c r="T180" s="182"/>
    </row>
    <row r="181" spans="1:20">
      <c r="A181" s="1091"/>
      <c r="B181" s="177" t="s">
        <v>148</v>
      </c>
      <c r="C181" s="322">
        <v>531</v>
      </c>
      <c r="D181" s="322">
        <v>355</v>
      </c>
      <c r="E181" s="322">
        <v>305</v>
      </c>
      <c r="F181" s="322">
        <v>349</v>
      </c>
      <c r="G181" s="322">
        <v>306</v>
      </c>
      <c r="H181" s="322">
        <v>342</v>
      </c>
      <c r="I181" s="322">
        <v>434</v>
      </c>
      <c r="J181" s="322">
        <v>443</v>
      </c>
      <c r="K181" s="322">
        <v>923</v>
      </c>
      <c r="L181" s="322">
        <v>516</v>
      </c>
      <c r="M181" s="322">
        <v>808</v>
      </c>
      <c r="N181" s="322">
        <v>963</v>
      </c>
      <c r="O181" s="249">
        <v>1191</v>
      </c>
      <c r="P181" s="249">
        <v>997</v>
      </c>
      <c r="Q181" s="249">
        <v>1800</v>
      </c>
      <c r="R181" s="249">
        <v>2287</v>
      </c>
      <c r="S181" s="332">
        <v>6275</v>
      </c>
      <c r="T181" s="183"/>
    </row>
    <row r="182" spans="1:20" ht="13.8" thickBot="1">
      <c r="A182" s="1092"/>
      <c r="B182" s="287" t="s">
        <v>47</v>
      </c>
      <c r="C182" s="288">
        <v>531</v>
      </c>
      <c r="D182" s="288">
        <v>355</v>
      </c>
      <c r="E182" s="288">
        <v>305</v>
      </c>
      <c r="F182" s="288">
        <v>349</v>
      </c>
      <c r="G182" s="316">
        <v>306</v>
      </c>
      <c r="H182" s="316">
        <v>342</v>
      </c>
      <c r="I182" s="316">
        <v>434</v>
      </c>
      <c r="J182" s="316">
        <v>443</v>
      </c>
      <c r="K182" s="316">
        <v>923</v>
      </c>
      <c r="L182" s="316">
        <v>516</v>
      </c>
      <c r="M182" s="316">
        <v>808</v>
      </c>
      <c r="N182" s="316">
        <v>963</v>
      </c>
      <c r="O182" s="316">
        <v>1191</v>
      </c>
      <c r="P182" s="316">
        <v>997</v>
      </c>
      <c r="Q182" s="316">
        <v>1800</v>
      </c>
      <c r="R182" s="316">
        <v>2287</v>
      </c>
      <c r="S182" s="316">
        <v>6275</v>
      </c>
      <c r="T182" s="179">
        <v>120.67307692307692</v>
      </c>
    </row>
    <row r="183" spans="1:20">
      <c r="A183" s="1090" t="s">
        <v>251</v>
      </c>
      <c r="B183" s="184" t="s">
        <v>190</v>
      </c>
      <c r="C183" s="180">
        <v>0</v>
      </c>
      <c r="D183" s="180">
        <v>0</v>
      </c>
      <c r="E183" s="180">
        <v>0</v>
      </c>
      <c r="F183" s="180">
        <v>0</v>
      </c>
      <c r="G183" s="322">
        <v>0</v>
      </c>
      <c r="H183" s="322">
        <v>0</v>
      </c>
      <c r="I183" s="322">
        <v>0</v>
      </c>
      <c r="J183" s="322">
        <v>0</v>
      </c>
      <c r="K183" s="322">
        <v>0</v>
      </c>
      <c r="L183" s="322">
        <v>0</v>
      </c>
      <c r="M183" s="322">
        <v>0</v>
      </c>
      <c r="N183" s="322">
        <v>0</v>
      </c>
      <c r="O183" s="249">
        <v>0</v>
      </c>
      <c r="P183" s="249">
        <v>0</v>
      </c>
      <c r="Q183" s="249">
        <v>0</v>
      </c>
      <c r="R183" s="249">
        <v>0</v>
      </c>
      <c r="S183" s="333">
        <v>0</v>
      </c>
      <c r="T183" s="182"/>
    </row>
    <row r="184" spans="1:20">
      <c r="A184" s="1091"/>
      <c r="B184" s="177" t="s">
        <v>148</v>
      </c>
      <c r="C184" s="180">
        <v>507</v>
      </c>
      <c r="D184" s="180">
        <v>235</v>
      </c>
      <c r="E184" s="180">
        <v>354</v>
      </c>
      <c r="F184" s="180">
        <v>287</v>
      </c>
      <c r="G184" s="322">
        <v>235</v>
      </c>
      <c r="H184" s="322">
        <v>257</v>
      </c>
      <c r="I184" s="322">
        <v>376</v>
      </c>
      <c r="J184" s="322">
        <v>364</v>
      </c>
      <c r="K184" s="322">
        <v>783</v>
      </c>
      <c r="L184" s="322">
        <v>443</v>
      </c>
      <c r="M184" s="322">
        <v>835</v>
      </c>
      <c r="N184" s="322">
        <v>882</v>
      </c>
      <c r="O184" s="249">
        <v>1096</v>
      </c>
      <c r="P184" s="249">
        <v>779</v>
      </c>
      <c r="Q184" s="249">
        <v>1523</v>
      </c>
      <c r="R184" s="249">
        <v>2160</v>
      </c>
      <c r="S184" s="332">
        <v>5558</v>
      </c>
      <c r="T184" s="183"/>
    </row>
    <row r="185" spans="1:20" ht="13.8" thickBot="1">
      <c r="A185" s="1092"/>
      <c r="B185" s="287" t="s">
        <v>241</v>
      </c>
      <c r="C185" s="288">
        <v>507</v>
      </c>
      <c r="D185" s="288">
        <v>235</v>
      </c>
      <c r="E185" s="288">
        <v>354</v>
      </c>
      <c r="F185" s="288">
        <v>287</v>
      </c>
      <c r="G185" s="316">
        <v>235</v>
      </c>
      <c r="H185" s="316">
        <v>257</v>
      </c>
      <c r="I185" s="316">
        <v>376</v>
      </c>
      <c r="J185" s="316">
        <v>364</v>
      </c>
      <c r="K185" s="316">
        <v>783</v>
      </c>
      <c r="L185" s="316">
        <v>443</v>
      </c>
      <c r="M185" s="316">
        <v>835</v>
      </c>
      <c r="N185" s="316">
        <v>882</v>
      </c>
      <c r="O185" s="316">
        <v>1096</v>
      </c>
      <c r="P185" s="316">
        <v>779</v>
      </c>
      <c r="Q185" s="316">
        <v>1523</v>
      </c>
      <c r="R185" s="316">
        <v>2160</v>
      </c>
      <c r="S185" s="316">
        <v>5558</v>
      </c>
      <c r="T185" s="179">
        <v>106.88461538461539</v>
      </c>
    </row>
    <row r="186" spans="1:20">
      <c r="A186" s="1091" t="s">
        <v>260</v>
      </c>
      <c r="B186" s="178" t="s">
        <v>265</v>
      </c>
      <c r="C186" s="180">
        <v>0</v>
      </c>
      <c r="D186" s="180">
        <v>0</v>
      </c>
      <c r="E186" s="180">
        <v>0</v>
      </c>
      <c r="F186" s="180">
        <v>0</v>
      </c>
      <c r="G186" s="322">
        <v>0</v>
      </c>
      <c r="H186" s="322">
        <v>0</v>
      </c>
      <c r="I186" s="322">
        <v>0</v>
      </c>
      <c r="J186" s="322">
        <v>0</v>
      </c>
      <c r="K186" s="322">
        <v>0</v>
      </c>
      <c r="L186" s="322">
        <v>0</v>
      </c>
      <c r="M186" s="322">
        <v>0</v>
      </c>
      <c r="N186" s="322">
        <v>0</v>
      </c>
      <c r="O186" s="249">
        <v>0</v>
      </c>
      <c r="P186" s="249">
        <v>0</v>
      </c>
      <c r="Q186" s="249">
        <v>0</v>
      </c>
      <c r="R186" s="249">
        <v>0</v>
      </c>
      <c r="S186" s="332">
        <v>0</v>
      </c>
      <c r="T186" s="182"/>
    </row>
    <row r="187" spans="1:20">
      <c r="A187" s="1091"/>
      <c r="B187" s="177" t="s">
        <v>263</v>
      </c>
      <c r="C187" s="180">
        <v>69</v>
      </c>
      <c r="D187" s="180">
        <v>39</v>
      </c>
      <c r="E187" s="180">
        <v>38</v>
      </c>
      <c r="F187" s="180">
        <v>44</v>
      </c>
      <c r="G187" s="322">
        <v>38</v>
      </c>
      <c r="H187" s="322">
        <v>40</v>
      </c>
      <c r="I187" s="322">
        <v>67</v>
      </c>
      <c r="J187" s="322">
        <v>67</v>
      </c>
      <c r="K187" s="322">
        <v>111</v>
      </c>
      <c r="L187" s="322">
        <v>65</v>
      </c>
      <c r="M187" s="322">
        <v>118</v>
      </c>
      <c r="N187" s="322">
        <v>142</v>
      </c>
      <c r="O187" s="249">
        <v>146</v>
      </c>
      <c r="P187" s="249">
        <v>122</v>
      </c>
      <c r="Q187" s="249">
        <v>245</v>
      </c>
      <c r="R187" s="249">
        <v>325</v>
      </c>
      <c r="S187" s="332">
        <v>838</v>
      </c>
      <c r="T187" s="183"/>
    </row>
    <row r="188" spans="1:20">
      <c r="A188" s="1091"/>
      <c r="B188" s="289" t="s">
        <v>270</v>
      </c>
      <c r="C188" s="290">
        <v>69</v>
      </c>
      <c r="D188" s="290">
        <v>39</v>
      </c>
      <c r="E188" s="290">
        <v>38</v>
      </c>
      <c r="F188" s="290">
        <v>44</v>
      </c>
      <c r="G188" s="324">
        <v>38</v>
      </c>
      <c r="H188" s="324">
        <v>40</v>
      </c>
      <c r="I188" s="324">
        <v>67</v>
      </c>
      <c r="J188" s="324">
        <v>67</v>
      </c>
      <c r="K188" s="324">
        <v>111</v>
      </c>
      <c r="L188" s="324">
        <v>65</v>
      </c>
      <c r="M188" s="324">
        <v>118</v>
      </c>
      <c r="N188" s="324">
        <v>142</v>
      </c>
      <c r="O188" s="324">
        <v>146</v>
      </c>
      <c r="P188" s="324">
        <v>122</v>
      </c>
      <c r="Q188" s="324">
        <v>245</v>
      </c>
      <c r="R188" s="324">
        <v>325</v>
      </c>
      <c r="S188" s="339">
        <v>838</v>
      </c>
      <c r="T188" s="145"/>
    </row>
    <row r="189" spans="1:20">
      <c r="A189" s="1091"/>
      <c r="B189" s="289" t="s">
        <v>264</v>
      </c>
      <c r="C189" s="290">
        <v>0</v>
      </c>
      <c r="D189" s="290">
        <v>0</v>
      </c>
      <c r="E189" s="290">
        <v>0</v>
      </c>
      <c r="F189" s="290">
        <v>0</v>
      </c>
      <c r="G189" s="324">
        <v>0</v>
      </c>
      <c r="H189" s="324">
        <v>0</v>
      </c>
      <c r="I189" s="324">
        <v>0</v>
      </c>
      <c r="J189" s="324">
        <v>0</v>
      </c>
      <c r="K189" s="324">
        <v>0</v>
      </c>
      <c r="L189" s="324">
        <v>0</v>
      </c>
      <c r="M189" s="324">
        <v>0</v>
      </c>
      <c r="N189" s="324">
        <v>0</v>
      </c>
      <c r="O189" s="324">
        <v>0</v>
      </c>
      <c r="P189" s="324">
        <v>0</v>
      </c>
      <c r="Q189" s="324">
        <v>0</v>
      </c>
      <c r="R189" s="324">
        <v>0</v>
      </c>
      <c r="S189" s="339">
        <v>0</v>
      </c>
      <c r="T189" s="145"/>
    </row>
    <row r="190" spans="1:20">
      <c r="A190" s="1091"/>
      <c r="B190" s="289" t="s">
        <v>266</v>
      </c>
      <c r="C190" s="290">
        <v>0</v>
      </c>
      <c r="D190" s="290">
        <v>0</v>
      </c>
      <c r="E190" s="290">
        <v>0</v>
      </c>
      <c r="F190" s="290">
        <v>0</v>
      </c>
      <c r="G190" s="324">
        <v>0</v>
      </c>
      <c r="H190" s="324">
        <v>0</v>
      </c>
      <c r="I190" s="324">
        <v>0</v>
      </c>
      <c r="J190" s="324">
        <v>0</v>
      </c>
      <c r="K190" s="324">
        <v>0</v>
      </c>
      <c r="L190" s="324">
        <v>0</v>
      </c>
      <c r="M190" s="324">
        <v>0</v>
      </c>
      <c r="N190" s="324">
        <v>0</v>
      </c>
      <c r="O190" s="324">
        <v>0</v>
      </c>
      <c r="P190" s="324">
        <v>0</v>
      </c>
      <c r="Q190" s="324">
        <v>0</v>
      </c>
      <c r="R190" s="324">
        <v>0</v>
      </c>
      <c r="S190" s="339">
        <v>0</v>
      </c>
      <c r="T190" s="145"/>
    </row>
    <row r="191" spans="1:20" ht="13.8" thickBot="1">
      <c r="A191" s="1092"/>
      <c r="B191" s="287" t="s">
        <v>269</v>
      </c>
      <c r="C191" s="288">
        <v>69</v>
      </c>
      <c r="D191" s="288">
        <v>39</v>
      </c>
      <c r="E191" s="288">
        <v>38</v>
      </c>
      <c r="F191" s="288">
        <v>44</v>
      </c>
      <c r="G191" s="316">
        <v>38</v>
      </c>
      <c r="H191" s="316">
        <v>40</v>
      </c>
      <c r="I191" s="316">
        <v>67</v>
      </c>
      <c r="J191" s="316">
        <v>67</v>
      </c>
      <c r="K191" s="316">
        <v>111</v>
      </c>
      <c r="L191" s="316">
        <v>65</v>
      </c>
      <c r="M191" s="316">
        <v>118</v>
      </c>
      <c r="N191" s="316">
        <v>142</v>
      </c>
      <c r="O191" s="316">
        <v>146</v>
      </c>
      <c r="P191" s="316">
        <v>122</v>
      </c>
      <c r="Q191" s="316">
        <v>245</v>
      </c>
      <c r="R191" s="316">
        <v>325</v>
      </c>
      <c r="S191" s="316">
        <v>838</v>
      </c>
      <c r="T191" s="179">
        <v>16.115384615384617</v>
      </c>
    </row>
    <row r="192" spans="1:20">
      <c r="A192" s="1087" t="s">
        <v>268</v>
      </c>
      <c r="B192" s="312" t="s">
        <v>250</v>
      </c>
      <c r="C192" s="313">
        <v>19</v>
      </c>
      <c r="D192" s="313">
        <v>16</v>
      </c>
      <c r="E192" s="313">
        <v>25</v>
      </c>
      <c r="F192" s="313">
        <v>24</v>
      </c>
      <c r="G192" s="313">
        <v>18</v>
      </c>
      <c r="H192" s="313">
        <v>25</v>
      </c>
      <c r="I192" s="313">
        <v>33</v>
      </c>
      <c r="J192" s="313">
        <v>47</v>
      </c>
      <c r="K192" s="313">
        <v>32</v>
      </c>
      <c r="L192" s="313">
        <v>31</v>
      </c>
      <c r="M192" s="313">
        <v>37</v>
      </c>
      <c r="N192" s="313">
        <v>57</v>
      </c>
      <c r="O192" s="313">
        <v>60</v>
      </c>
      <c r="P192" s="313">
        <v>67</v>
      </c>
      <c r="Q192" s="313">
        <v>112</v>
      </c>
      <c r="R192" s="313">
        <v>125</v>
      </c>
      <c r="S192" s="313">
        <v>364</v>
      </c>
      <c r="T192" s="176"/>
    </row>
    <row r="193" spans="1:20">
      <c r="A193" s="1088"/>
      <c r="B193" s="312" t="s">
        <v>247</v>
      </c>
      <c r="C193" s="313">
        <v>193</v>
      </c>
      <c r="D193" s="313">
        <v>129</v>
      </c>
      <c r="E193" s="313">
        <v>193</v>
      </c>
      <c r="F193" s="313">
        <v>214</v>
      </c>
      <c r="G193" s="313">
        <v>245</v>
      </c>
      <c r="H193" s="313">
        <v>241</v>
      </c>
      <c r="I193" s="313">
        <v>253</v>
      </c>
      <c r="J193" s="313">
        <v>387</v>
      </c>
      <c r="K193" s="313">
        <v>389</v>
      </c>
      <c r="L193" s="313">
        <v>407</v>
      </c>
      <c r="M193" s="313">
        <v>362</v>
      </c>
      <c r="N193" s="313">
        <v>592</v>
      </c>
      <c r="O193" s="313">
        <v>515</v>
      </c>
      <c r="P193" s="313">
        <v>700</v>
      </c>
      <c r="Q193" s="313">
        <v>1029</v>
      </c>
      <c r="R193" s="313">
        <v>1361</v>
      </c>
      <c r="S193" s="313">
        <v>3605</v>
      </c>
      <c r="T193" s="176"/>
    </row>
    <row r="194" spans="1:20">
      <c r="A194" s="1089"/>
      <c r="B194" s="312" t="s">
        <v>261</v>
      </c>
      <c r="C194" s="314">
        <v>10.157894736842104</v>
      </c>
      <c r="D194" s="314">
        <v>8.0625</v>
      </c>
      <c r="E194" s="314">
        <v>7.72</v>
      </c>
      <c r="F194" s="314">
        <v>8.9166666666666661</v>
      </c>
      <c r="G194" s="314">
        <v>13.611111111111111</v>
      </c>
      <c r="H194" s="314">
        <v>9.64</v>
      </c>
      <c r="I194" s="314">
        <v>7.666666666666667</v>
      </c>
      <c r="J194" s="314">
        <v>8.2340425531914896</v>
      </c>
      <c r="K194" s="314">
        <v>12.15625</v>
      </c>
      <c r="L194" s="314">
        <v>13.129032258064516</v>
      </c>
      <c r="M194" s="314">
        <v>9.7837837837837842</v>
      </c>
      <c r="N194" s="314">
        <v>10.385964912280702</v>
      </c>
      <c r="O194" s="314">
        <v>8.5833333333333339</v>
      </c>
      <c r="P194" s="314">
        <v>10.447761194029852</v>
      </c>
      <c r="Q194" s="314">
        <v>9.1875</v>
      </c>
      <c r="R194" s="314">
        <v>10.888</v>
      </c>
      <c r="S194" s="314">
        <v>9.9038461538461533</v>
      </c>
      <c r="T194" s="176"/>
    </row>
    <row r="195" spans="1:20" ht="6" customHeight="1" thickBot="1">
      <c r="A195" s="168"/>
      <c r="B195" s="169"/>
      <c r="C195" s="169"/>
      <c r="D195" s="169"/>
      <c r="E195" s="169"/>
      <c r="F195" s="169"/>
      <c r="G195" s="169"/>
      <c r="H195" s="169"/>
      <c r="I195" s="169"/>
      <c r="J195" s="169"/>
      <c r="K195" s="169"/>
      <c r="L195" s="169"/>
      <c r="M195" s="169"/>
      <c r="N195" s="169"/>
      <c r="O195" s="170"/>
      <c r="P195" s="170"/>
      <c r="Q195" s="170"/>
      <c r="R195" s="170"/>
      <c r="S195" s="172"/>
      <c r="T195" s="171"/>
    </row>
    <row r="196" spans="1:20" ht="12.75" customHeight="1">
      <c r="A196" s="1096" t="s">
        <v>262</v>
      </c>
      <c r="B196" s="286" t="s">
        <v>187</v>
      </c>
      <c r="C196" s="292">
        <v>31</v>
      </c>
      <c r="D196" s="292">
        <v>31</v>
      </c>
      <c r="E196" s="292">
        <v>30</v>
      </c>
      <c r="F196" s="292">
        <v>31</v>
      </c>
      <c r="G196" s="292">
        <v>29</v>
      </c>
      <c r="H196" s="292">
        <v>28</v>
      </c>
      <c r="I196" s="292">
        <v>31</v>
      </c>
      <c r="J196" s="292">
        <v>28</v>
      </c>
      <c r="K196" s="292">
        <v>31</v>
      </c>
      <c r="L196" s="292">
        <v>30</v>
      </c>
      <c r="M196" s="292">
        <v>31</v>
      </c>
      <c r="N196" s="292">
        <v>30</v>
      </c>
      <c r="O196" s="293">
        <v>92</v>
      </c>
      <c r="P196" s="293">
        <v>88</v>
      </c>
      <c r="Q196" s="293">
        <v>90</v>
      </c>
      <c r="R196" s="293">
        <v>91</v>
      </c>
      <c r="S196" s="285">
        <v>361</v>
      </c>
      <c r="T196" s="145"/>
    </row>
    <row r="197" spans="1:20" ht="24">
      <c r="A197" s="1097"/>
      <c r="B197" s="262" t="s">
        <v>336</v>
      </c>
      <c r="C197" s="336">
        <v>23</v>
      </c>
      <c r="D197" s="336">
        <v>23</v>
      </c>
      <c r="E197" s="336">
        <v>23</v>
      </c>
      <c r="F197" s="336">
        <v>23</v>
      </c>
      <c r="G197" s="336">
        <v>23</v>
      </c>
      <c r="H197" s="336">
        <v>23</v>
      </c>
      <c r="I197" s="336">
        <v>23</v>
      </c>
      <c r="J197" s="336">
        <v>23</v>
      </c>
      <c r="K197" s="336">
        <v>23</v>
      </c>
      <c r="L197" s="336">
        <v>27</v>
      </c>
      <c r="M197" s="336">
        <v>27</v>
      </c>
      <c r="N197" s="336">
        <v>27</v>
      </c>
      <c r="O197" s="254">
        <v>23</v>
      </c>
      <c r="P197" s="254">
        <v>23</v>
      </c>
      <c r="Q197" s="254">
        <v>23</v>
      </c>
      <c r="R197" s="254">
        <v>27</v>
      </c>
      <c r="S197" s="263">
        <v>27</v>
      </c>
      <c r="T197" s="173">
        <v>27</v>
      </c>
    </row>
    <row r="198" spans="1:20" ht="23.4">
      <c r="A198" s="1098" t="s">
        <v>297</v>
      </c>
      <c r="B198" s="256" t="s">
        <v>337</v>
      </c>
      <c r="C198" s="337">
        <v>38</v>
      </c>
      <c r="D198" s="337">
        <v>38</v>
      </c>
      <c r="E198" s="337">
        <v>38</v>
      </c>
      <c r="F198" s="337">
        <v>38</v>
      </c>
      <c r="G198" s="337">
        <v>38</v>
      </c>
      <c r="H198" s="337">
        <v>38</v>
      </c>
      <c r="I198" s="337">
        <v>38</v>
      </c>
      <c r="J198" s="337">
        <v>38</v>
      </c>
      <c r="K198" s="337">
        <v>38</v>
      </c>
      <c r="L198" s="337">
        <v>38</v>
      </c>
      <c r="M198" s="337">
        <v>38</v>
      </c>
      <c r="N198" s="337">
        <v>38</v>
      </c>
      <c r="O198" s="254">
        <v>38</v>
      </c>
      <c r="P198" s="254">
        <v>38</v>
      </c>
      <c r="Q198" s="254">
        <v>38</v>
      </c>
      <c r="R198" s="254">
        <v>38</v>
      </c>
      <c r="S198" s="263">
        <v>38</v>
      </c>
      <c r="T198" s="264"/>
    </row>
    <row r="199" spans="1:20" ht="13.5" customHeight="1" thickBot="1">
      <c r="A199" s="1099"/>
      <c r="B199" s="257" t="s">
        <v>244</v>
      </c>
      <c r="C199" s="331">
        <v>30</v>
      </c>
      <c r="D199" s="331">
        <v>28</v>
      </c>
      <c r="E199" s="331">
        <v>28</v>
      </c>
      <c r="F199" s="331">
        <v>28</v>
      </c>
      <c r="G199" s="331">
        <v>28</v>
      </c>
      <c r="H199" s="331">
        <v>28</v>
      </c>
      <c r="I199" s="331">
        <v>28</v>
      </c>
      <c r="J199" s="331">
        <v>28</v>
      </c>
      <c r="K199" s="331">
        <v>28</v>
      </c>
      <c r="L199" s="331">
        <v>34</v>
      </c>
      <c r="M199" s="331">
        <v>34</v>
      </c>
      <c r="N199" s="331">
        <v>34</v>
      </c>
      <c r="O199" s="255">
        <v>30</v>
      </c>
      <c r="P199" s="255">
        <v>28</v>
      </c>
      <c r="Q199" s="255">
        <v>28</v>
      </c>
      <c r="R199" s="255">
        <v>34</v>
      </c>
      <c r="S199" s="319">
        <v>34</v>
      </c>
      <c r="T199" s="179">
        <v>34</v>
      </c>
    </row>
    <row r="200" spans="1:20">
      <c r="A200" s="1091" t="s">
        <v>248</v>
      </c>
      <c r="B200" s="178" t="s">
        <v>190</v>
      </c>
      <c r="C200" s="180">
        <v>3271.12</v>
      </c>
      <c r="D200" s="180">
        <v>3759.0299999999997</v>
      </c>
      <c r="E200" s="180">
        <v>3297.95</v>
      </c>
      <c r="F200" s="180">
        <v>3896.9500000000007</v>
      </c>
      <c r="G200" s="180">
        <v>3412.3700000000008</v>
      </c>
      <c r="H200" s="180">
        <v>3087.5200000000004</v>
      </c>
      <c r="I200" s="180">
        <v>3621.04</v>
      </c>
      <c r="J200" s="180">
        <v>3443</v>
      </c>
      <c r="K200" s="180">
        <v>3699.25</v>
      </c>
      <c r="L200" s="180">
        <v>3701.4500000000007</v>
      </c>
      <c r="M200" s="180">
        <v>3979.9300000000003</v>
      </c>
      <c r="N200" s="180">
        <v>3512.8500000000004</v>
      </c>
      <c r="O200" s="266">
        <v>10328.099999999999</v>
      </c>
      <c r="P200" s="266">
        <v>10396.840000000002</v>
      </c>
      <c r="Q200" s="266">
        <v>10763.29</v>
      </c>
      <c r="R200" s="266">
        <v>11194.230000000001</v>
      </c>
      <c r="S200" s="181">
        <v>42682.46</v>
      </c>
      <c r="T200" s="182"/>
    </row>
    <row r="201" spans="1:20">
      <c r="A201" s="1091"/>
      <c r="B201" s="177" t="s">
        <v>148</v>
      </c>
      <c r="C201" s="180">
        <v>1693</v>
      </c>
      <c r="D201" s="180">
        <v>1707</v>
      </c>
      <c r="E201" s="180">
        <v>1663</v>
      </c>
      <c r="F201" s="180">
        <v>1924</v>
      </c>
      <c r="G201" s="180">
        <v>1745</v>
      </c>
      <c r="H201" s="180">
        <v>1579</v>
      </c>
      <c r="I201" s="180">
        <v>2064</v>
      </c>
      <c r="J201" s="180">
        <v>1972</v>
      </c>
      <c r="K201" s="180">
        <v>2087</v>
      </c>
      <c r="L201" s="180">
        <v>2100</v>
      </c>
      <c r="M201" s="180">
        <v>2358</v>
      </c>
      <c r="N201" s="180">
        <v>2238</v>
      </c>
      <c r="O201" s="231">
        <v>5063</v>
      </c>
      <c r="P201" s="231">
        <v>5248</v>
      </c>
      <c r="Q201" s="231">
        <v>6123</v>
      </c>
      <c r="R201" s="231">
        <v>6696</v>
      </c>
      <c r="S201" s="181">
        <v>23130</v>
      </c>
      <c r="T201" s="183"/>
    </row>
    <row r="202" spans="1:20" ht="13.8" thickBot="1">
      <c r="A202" s="1092"/>
      <c r="B202" s="287" t="s">
        <v>45</v>
      </c>
      <c r="C202" s="288">
        <v>4964.12</v>
      </c>
      <c r="D202" s="288">
        <v>5466.03</v>
      </c>
      <c r="E202" s="288">
        <v>4960.95</v>
      </c>
      <c r="F202" s="288">
        <v>5820.9500000000007</v>
      </c>
      <c r="G202" s="288">
        <v>5157.3700000000008</v>
      </c>
      <c r="H202" s="288">
        <v>4666.5200000000004</v>
      </c>
      <c r="I202" s="288">
        <v>5685.04</v>
      </c>
      <c r="J202" s="288">
        <v>5415</v>
      </c>
      <c r="K202" s="288">
        <v>5786.25</v>
      </c>
      <c r="L202" s="288">
        <v>5801.4500000000007</v>
      </c>
      <c r="M202" s="288">
        <v>6337.93</v>
      </c>
      <c r="N202" s="288">
        <v>5750.85</v>
      </c>
      <c r="O202" s="316">
        <v>15391.099999999999</v>
      </c>
      <c r="P202" s="316">
        <v>15644.840000000002</v>
      </c>
      <c r="Q202" s="316">
        <v>16886.29</v>
      </c>
      <c r="R202" s="316">
        <v>17890.230000000003</v>
      </c>
      <c r="S202" s="288">
        <v>65812.459999999992</v>
      </c>
      <c r="T202" s="173">
        <v>256.0796108949416</v>
      </c>
    </row>
    <row r="203" spans="1:20">
      <c r="A203" s="1090" t="s">
        <v>245</v>
      </c>
      <c r="B203" s="184" t="s">
        <v>190</v>
      </c>
      <c r="C203" s="185">
        <v>59805</v>
      </c>
      <c r="D203" s="185">
        <v>68131</v>
      </c>
      <c r="E203" s="185">
        <v>58328</v>
      </c>
      <c r="F203" s="185">
        <v>68799</v>
      </c>
      <c r="G203" s="185">
        <v>59599</v>
      </c>
      <c r="H203" s="185">
        <v>50924</v>
      </c>
      <c r="I203" s="185">
        <v>63123</v>
      </c>
      <c r="J203" s="185">
        <v>59842</v>
      </c>
      <c r="K203" s="185">
        <v>64308</v>
      </c>
      <c r="L203" s="185">
        <v>64445</v>
      </c>
      <c r="M203" s="185">
        <v>68033</v>
      </c>
      <c r="N203" s="185">
        <v>59719</v>
      </c>
      <c r="O203" s="231">
        <v>186264</v>
      </c>
      <c r="P203" s="231">
        <v>179322</v>
      </c>
      <c r="Q203" s="231">
        <v>187273</v>
      </c>
      <c r="R203" s="231">
        <v>192197</v>
      </c>
      <c r="S203" s="186">
        <v>745056</v>
      </c>
      <c r="T203" s="182"/>
    </row>
    <row r="204" spans="1:20">
      <c r="A204" s="1091"/>
      <c r="B204" s="177" t="s">
        <v>148</v>
      </c>
      <c r="C204" s="180">
        <v>30640</v>
      </c>
      <c r="D204" s="180">
        <v>30644</v>
      </c>
      <c r="E204" s="180">
        <v>28730</v>
      </c>
      <c r="F204" s="180">
        <v>33358</v>
      </c>
      <c r="G204" s="180">
        <v>29828</v>
      </c>
      <c r="H204" s="180">
        <v>25590</v>
      </c>
      <c r="I204" s="180">
        <v>34969</v>
      </c>
      <c r="J204" s="180">
        <v>32896</v>
      </c>
      <c r="K204" s="180">
        <v>35699</v>
      </c>
      <c r="L204" s="180">
        <v>35648</v>
      </c>
      <c r="M204" s="180">
        <v>39034</v>
      </c>
      <c r="N204" s="180">
        <v>37209</v>
      </c>
      <c r="O204" s="249">
        <v>90014</v>
      </c>
      <c r="P204" s="249">
        <v>88776</v>
      </c>
      <c r="Q204" s="249">
        <v>103564</v>
      </c>
      <c r="R204" s="249">
        <v>111891</v>
      </c>
      <c r="S204" s="181">
        <v>394245</v>
      </c>
      <c r="T204" s="183"/>
    </row>
    <row r="205" spans="1:20" ht="13.8" thickBot="1">
      <c r="A205" s="1092"/>
      <c r="B205" s="287" t="s">
        <v>46</v>
      </c>
      <c r="C205" s="288">
        <v>90445</v>
      </c>
      <c r="D205" s="288">
        <v>98775</v>
      </c>
      <c r="E205" s="288">
        <v>87058</v>
      </c>
      <c r="F205" s="288">
        <v>102157</v>
      </c>
      <c r="G205" s="288">
        <v>89427</v>
      </c>
      <c r="H205" s="288">
        <v>76514</v>
      </c>
      <c r="I205" s="288">
        <v>98092</v>
      </c>
      <c r="J205" s="288">
        <v>92738</v>
      </c>
      <c r="K205" s="288">
        <v>100007</v>
      </c>
      <c r="L205" s="288">
        <v>100093</v>
      </c>
      <c r="M205" s="288">
        <v>107067</v>
      </c>
      <c r="N205" s="288">
        <v>96928</v>
      </c>
      <c r="O205" s="316">
        <v>276278</v>
      </c>
      <c r="P205" s="316">
        <v>268098</v>
      </c>
      <c r="Q205" s="316">
        <v>290837</v>
      </c>
      <c r="R205" s="316">
        <v>304088</v>
      </c>
      <c r="S205" s="288">
        <v>1139301</v>
      </c>
      <c r="T205" s="173">
        <v>4433.0778210116732</v>
      </c>
    </row>
    <row r="206" spans="1:20">
      <c r="A206" s="1093" t="s">
        <v>249</v>
      </c>
      <c r="B206" s="184" t="s">
        <v>190</v>
      </c>
      <c r="C206" s="185">
        <v>2658.63</v>
      </c>
      <c r="D206" s="185">
        <v>3089.2700000000004</v>
      </c>
      <c r="E206" s="185">
        <v>2628.05</v>
      </c>
      <c r="F206" s="185">
        <v>3124.38</v>
      </c>
      <c r="G206" s="185">
        <v>2688.6499999999996</v>
      </c>
      <c r="H206" s="185">
        <v>2259.2800000000002</v>
      </c>
      <c r="I206" s="185">
        <v>2778.25</v>
      </c>
      <c r="J206" s="185">
        <v>2716.6000000000004</v>
      </c>
      <c r="K206" s="185">
        <v>2847.12</v>
      </c>
      <c r="L206" s="185">
        <v>2814.05</v>
      </c>
      <c r="M206" s="185">
        <v>2965.7700000000004</v>
      </c>
      <c r="N206" s="185">
        <v>2635.5</v>
      </c>
      <c r="O206" s="231">
        <v>8375.9500000000007</v>
      </c>
      <c r="P206" s="231">
        <v>8072.3099999999995</v>
      </c>
      <c r="Q206" s="231">
        <v>8341.9700000000012</v>
      </c>
      <c r="R206" s="231">
        <v>8415.32</v>
      </c>
      <c r="S206" s="186">
        <v>33205.550000000003</v>
      </c>
      <c r="T206" s="187"/>
    </row>
    <row r="207" spans="1:20">
      <c r="A207" s="1094"/>
      <c r="B207" s="177" t="s">
        <v>148</v>
      </c>
      <c r="C207" s="180">
        <v>1346</v>
      </c>
      <c r="D207" s="180">
        <v>1383</v>
      </c>
      <c r="E207" s="180">
        <v>1278</v>
      </c>
      <c r="F207" s="180">
        <v>1511</v>
      </c>
      <c r="G207" s="180">
        <v>1345</v>
      </c>
      <c r="H207" s="180">
        <v>1131</v>
      </c>
      <c r="I207" s="180">
        <v>1521</v>
      </c>
      <c r="J207" s="180">
        <v>1507</v>
      </c>
      <c r="K207" s="180">
        <v>1572</v>
      </c>
      <c r="L207" s="180">
        <v>1561</v>
      </c>
      <c r="M207" s="180">
        <v>1706</v>
      </c>
      <c r="N207" s="180">
        <v>1633</v>
      </c>
      <c r="O207" s="231">
        <v>4007</v>
      </c>
      <c r="P207" s="231">
        <v>3987</v>
      </c>
      <c r="Q207" s="231">
        <v>4600</v>
      </c>
      <c r="R207" s="231">
        <v>4900</v>
      </c>
      <c r="S207" s="181">
        <v>17494</v>
      </c>
      <c r="T207" s="183"/>
    </row>
    <row r="208" spans="1:20" ht="13.8" thickBot="1">
      <c r="A208" s="1095"/>
      <c r="B208" s="287" t="s">
        <v>109</v>
      </c>
      <c r="C208" s="288">
        <v>4004.63</v>
      </c>
      <c r="D208" s="288">
        <v>4472.2700000000004</v>
      </c>
      <c r="E208" s="288">
        <v>3906.05</v>
      </c>
      <c r="F208" s="288">
        <v>4635.38</v>
      </c>
      <c r="G208" s="288">
        <v>4033.6499999999996</v>
      </c>
      <c r="H208" s="288">
        <v>3390.28</v>
      </c>
      <c r="I208" s="288">
        <v>4299.25</v>
      </c>
      <c r="J208" s="288">
        <v>4223.6000000000004</v>
      </c>
      <c r="K208" s="288">
        <v>4419.12</v>
      </c>
      <c r="L208" s="288">
        <v>4375.05</v>
      </c>
      <c r="M208" s="288">
        <v>4671.7700000000004</v>
      </c>
      <c r="N208" s="288">
        <v>4268.5</v>
      </c>
      <c r="O208" s="316">
        <v>12382.95</v>
      </c>
      <c r="P208" s="316">
        <v>12059.31</v>
      </c>
      <c r="Q208" s="316">
        <v>12941.970000000001</v>
      </c>
      <c r="R208" s="316">
        <v>13315.32</v>
      </c>
      <c r="S208" s="288">
        <v>50699.55</v>
      </c>
      <c r="T208" s="173">
        <v>197.27451361867705</v>
      </c>
    </row>
    <row r="209" spans="1:20">
      <c r="A209" s="1093" t="s">
        <v>246</v>
      </c>
      <c r="B209" s="178" t="s">
        <v>190</v>
      </c>
      <c r="C209" s="180">
        <v>49727</v>
      </c>
      <c r="D209" s="180">
        <v>57398</v>
      </c>
      <c r="E209" s="180">
        <v>48029</v>
      </c>
      <c r="F209" s="180">
        <v>57306</v>
      </c>
      <c r="G209" s="180">
        <v>49191</v>
      </c>
      <c r="H209" s="180">
        <v>40376</v>
      </c>
      <c r="I209" s="180">
        <v>50884</v>
      </c>
      <c r="J209" s="180">
        <v>48929</v>
      </c>
      <c r="K209" s="180">
        <v>51728</v>
      </c>
      <c r="L209" s="180">
        <v>51351</v>
      </c>
      <c r="M209" s="180">
        <v>53605</v>
      </c>
      <c r="N209" s="180">
        <v>47308</v>
      </c>
      <c r="O209" s="231">
        <v>155154</v>
      </c>
      <c r="P209" s="231">
        <v>146873</v>
      </c>
      <c r="Q209" s="231">
        <v>151541</v>
      </c>
      <c r="R209" s="231">
        <v>152264</v>
      </c>
      <c r="S209" s="181">
        <v>605832</v>
      </c>
      <c r="T209" s="182"/>
    </row>
    <row r="210" spans="1:20">
      <c r="A210" s="1094"/>
      <c r="B210" s="177" t="s">
        <v>148</v>
      </c>
      <c r="C210" s="180">
        <v>25201</v>
      </c>
      <c r="D210" s="180">
        <v>25783</v>
      </c>
      <c r="E210" s="180">
        <v>23390</v>
      </c>
      <c r="F210" s="180">
        <v>27408</v>
      </c>
      <c r="G210" s="180">
        <v>24276</v>
      </c>
      <c r="H210" s="180">
        <v>19937</v>
      </c>
      <c r="I210" s="180">
        <v>27541</v>
      </c>
      <c r="J210" s="180">
        <v>26582</v>
      </c>
      <c r="K210" s="180">
        <v>28272</v>
      </c>
      <c r="L210" s="180">
        <v>27910</v>
      </c>
      <c r="M210" s="180">
        <v>30204</v>
      </c>
      <c r="N210" s="180">
        <v>28849</v>
      </c>
      <c r="O210" s="231">
        <v>74374</v>
      </c>
      <c r="P210" s="231">
        <v>71621</v>
      </c>
      <c r="Q210" s="231">
        <v>82395</v>
      </c>
      <c r="R210" s="231">
        <v>86963</v>
      </c>
      <c r="S210" s="181">
        <v>315353</v>
      </c>
      <c r="T210" s="183"/>
    </row>
    <row r="211" spans="1:20" ht="13.8" thickBot="1">
      <c r="A211" s="1095"/>
      <c r="B211" s="287" t="s">
        <v>47</v>
      </c>
      <c r="C211" s="288">
        <v>74928</v>
      </c>
      <c r="D211" s="288">
        <v>83181</v>
      </c>
      <c r="E211" s="288">
        <v>71419</v>
      </c>
      <c r="F211" s="288">
        <v>84714</v>
      </c>
      <c r="G211" s="288">
        <v>73467</v>
      </c>
      <c r="H211" s="288">
        <v>60313</v>
      </c>
      <c r="I211" s="288">
        <v>78425</v>
      </c>
      <c r="J211" s="288">
        <v>75511</v>
      </c>
      <c r="K211" s="288">
        <v>80000</v>
      </c>
      <c r="L211" s="288">
        <v>79261</v>
      </c>
      <c r="M211" s="288">
        <v>83809</v>
      </c>
      <c r="N211" s="288">
        <v>76157</v>
      </c>
      <c r="O211" s="316">
        <v>229528</v>
      </c>
      <c r="P211" s="316">
        <v>218494</v>
      </c>
      <c r="Q211" s="316">
        <v>233936</v>
      </c>
      <c r="R211" s="316">
        <v>239227</v>
      </c>
      <c r="S211" s="288">
        <v>921185</v>
      </c>
      <c r="T211" s="173">
        <v>3584.3774319066147</v>
      </c>
    </row>
    <row r="212" spans="1:20">
      <c r="A212" s="1090" t="s">
        <v>251</v>
      </c>
      <c r="B212" s="184" t="s">
        <v>190</v>
      </c>
      <c r="C212" s="185">
        <v>62426</v>
      </c>
      <c r="D212" s="185">
        <v>71657</v>
      </c>
      <c r="E212" s="185">
        <v>60299</v>
      </c>
      <c r="F212" s="185">
        <v>69764</v>
      </c>
      <c r="G212" s="185">
        <v>57210</v>
      </c>
      <c r="H212" s="185">
        <v>46035</v>
      </c>
      <c r="I212" s="185">
        <v>-62680.68</v>
      </c>
      <c r="J212" s="185">
        <v>58407</v>
      </c>
      <c r="K212" s="185">
        <v>63897</v>
      </c>
      <c r="L212" s="185">
        <v>62916</v>
      </c>
      <c r="M212" s="185">
        <v>65941</v>
      </c>
      <c r="N212" s="185">
        <v>57777</v>
      </c>
      <c r="O212" s="231">
        <v>194382</v>
      </c>
      <c r="P212" s="231">
        <v>173009</v>
      </c>
      <c r="Q212" s="231">
        <v>59623.32</v>
      </c>
      <c r="R212" s="231">
        <v>186634</v>
      </c>
      <c r="S212" s="186">
        <v>613648.32000000007</v>
      </c>
      <c r="T212" s="182"/>
    </row>
    <row r="213" spans="1:20">
      <c r="A213" s="1091"/>
      <c r="B213" s="177" t="s">
        <v>148</v>
      </c>
      <c r="C213" s="180">
        <v>30599</v>
      </c>
      <c r="D213" s="180">
        <v>32423</v>
      </c>
      <c r="E213" s="180">
        <v>28597</v>
      </c>
      <c r="F213" s="180">
        <v>33851</v>
      </c>
      <c r="G213" s="180">
        <v>27411</v>
      </c>
      <c r="H213" s="180">
        <v>21074</v>
      </c>
      <c r="I213" s="180">
        <v>29997</v>
      </c>
      <c r="J213" s="180">
        <v>29506</v>
      </c>
      <c r="K213" s="180">
        <v>30758</v>
      </c>
      <c r="L213" s="180">
        <v>31238</v>
      </c>
      <c r="M213" s="180">
        <v>35574</v>
      </c>
      <c r="N213" s="180">
        <v>33849</v>
      </c>
      <c r="O213" s="231">
        <v>91619</v>
      </c>
      <c r="P213" s="231">
        <v>82336</v>
      </c>
      <c r="Q213" s="231">
        <v>90261</v>
      </c>
      <c r="R213" s="231">
        <v>100661</v>
      </c>
      <c r="S213" s="181">
        <v>364877</v>
      </c>
      <c r="T213" s="183"/>
    </row>
    <row r="214" spans="1:20" ht="13.8" thickBot="1">
      <c r="A214" s="1092"/>
      <c r="B214" s="287" t="s">
        <v>241</v>
      </c>
      <c r="C214" s="288">
        <v>93025</v>
      </c>
      <c r="D214" s="288">
        <v>104080</v>
      </c>
      <c r="E214" s="288">
        <v>88896</v>
      </c>
      <c r="F214" s="288">
        <v>103615</v>
      </c>
      <c r="G214" s="288">
        <v>84621</v>
      </c>
      <c r="H214" s="288">
        <v>67109</v>
      </c>
      <c r="I214" s="288">
        <v>-32683.68</v>
      </c>
      <c r="J214" s="288">
        <v>87913</v>
      </c>
      <c r="K214" s="288">
        <v>94655</v>
      </c>
      <c r="L214" s="288">
        <v>94154</v>
      </c>
      <c r="M214" s="288">
        <v>101515</v>
      </c>
      <c r="N214" s="288">
        <v>91626</v>
      </c>
      <c r="O214" s="316">
        <v>286001</v>
      </c>
      <c r="P214" s="316">
        <v>255345</v>
      </c>
      <c r="Q214" s="316">
        <v>149884.32</v>
      </c>
      <c r="R214" s="316">
        <v>287295</v>
      </c>
      <c r="S214" s="288">
        <v>978525.32000000007</v>
      </c>
      <c r="T214" s="173">
        <v>3807.4915175097281</v>
      </c>
    </row>
    <row r="215" spans="1:20">
      <c r="A215" s="1094" t="s">
        <v>260</v>
      </c>
      <c r="B215" s="178" t="s">
        <v>265</v>
      </c>
      <c r="C215" s="180">
        <v>475</v>
      </c>
      <c r="D215" s="180">
        <v>498</v>
      </c>
      <c r="E215" s="180">
        <v>438</v>
      </c>
      <c r="F215" s="180">
        <v>559</v>
      </c>
      <c r="G215" s="180">
        <v>429</v>
      </c>
      <c r="H215" s="180">
        <v>399</v>
      </c>
      <c r="I215" s="180">
        <v>547</v>
      </c>
      <c r="J215" s="180">
        <v>472</v>
      </c>
      <c r="K215" s="180">
        <v>555</v>
      </c>
      <c r="L215" s="180">
        <v>538</v>
      </c>
      <c r="M215" s="180">
        <v>570</v>
      </c>
      <c r="N215" s="180">
        <v>472</v>
      </c>
      <c r="O215" s="231">
        <v>1411</v>
      </c>
      <c r="P215" s="231">
        <v>1387</v>
      </c>
      <c r="Q215" s="231">
        <v>1574</v>
      </c>
      <c r="R215" s="231">
        <v>1580</v>
      </c>
      <c r="S215" s="181">
        <v>5952</v>
      </c>
      <c r="T215" s="182"/>
    </row>
    <row r="216" spans="1:20">
      <c r="A216" s="1094"/>
      <c r="B216" s="177" t="s">
        <v>263</v>
      </c>
      <c r="C216" s="180">
        <v>3383</v>
      </c>
      <c r="D216" s="180">
        <v>3386</v>
      </c>
      <c r="E216" s="180">
        <v>2982</v>
      </c>
      <c r="F216" s="180">
        <v>3501</v>
      </c>
      <c r="G216" s="180">
        <v>2939</v>
      </c>
      <c r="H216" s="180">
        <v>2406</v>
      </c>
      <c r="I216" s="180">
        <v>3386</v>
      </c>
      <c r="J216" s="180">
        <v>3302</v>
      </c>
      <c r="K216" s="180">
        <v>3486</v>
      </c>
      <c r="L216" s="180">
        <v>3499</v>
      </c>
      <c r="M216" s="180">
        <v>3856</v>
      </c>
      <c r="N216" s="180">
        <v>3784</v>
      </c>
      <c r="O216" s="231">
        <v>9751</v>
      </c>
      <c r="P216" s="231">
        <v>8846</v>
      </c>
      <c r="Q216" s="231">
        <v>10174</v>
      </c>
      <c r="R216" s="231">
        <v>11139</v>
      </c>
      <c r="S216" s="181">
        <v>39910</v>
      </c>
      <c r="T216" s="183"/>
    </row>
    <row r="217" spans="1:20">
      <c r="A217" s="1094"/>
      <c r="B217" s="289" t="s">
        <v>270</v>
      </c>
      <c r="C217" s="290">
        <v>3858</v>
      </c>
      <c r="D217" s="290">
        <v>3884</v>
      </c>
      <c r="E217" s="290">
        <v>3420</v>
      </c>
      <c r="F217" s="290">
        <v>4060</v>
      </c>
      <c r="G217" s="290">
        <v>3368</v>
      </c>
      <c r="H217" s="290">
        <v>2805</v>
      </c>
      <c r="I217" s="290">
        <v>3933</v>
      </c>
      <c r="J217" s="290">
        <v>3774</v>
      </c>
      <c r="K217" s="290">
        <v>4041</v>
      </c>
      <c r="L217" s="290">
        <v>4037</v>
      </c>
      <c r="M217" s="290">
        <v>4426</v>
      </c>
      <c r="N217" s="290">
        <v>4256</v>
      </c>
      <c r="O217" s="290">
        <v>11162</v>
      </c>
      <c r="P217" s="290">
        <v>10233</v>
      </c>
      <c r="Q217" s="290">
        <v>11748</v>
      </c>
      <c r="R217" s="290">
        <v>12719</v>
      </c>
      <c r="S217" s="291">
        <v>45862</v>
      </c>
      <c r="T217" s="145"/>
    </row>
    <row r="218" spans="1:20">
      <c r="A218" s="1094"/>
      <c r="B218" s="289" t="s">
        <v>264</v>
      </c>
      <c r="C218" s="290">
        <v>1068</v>
      </c>
      <c r="D218" s="290">
        <v>1383</v>
      </c>
      <c r="E218" s="290">
        <v>834</v>
      </c>
      <c r="F218" s="290">
        <v>1026</v>
      </c>
      <c r="G218" s="290">
        <v>523</v>
      </c>
      <c r="H218" s="290">
        <v>456</v>
      </c>
      <c r="I218" s="290">
        <v>505</v>
      </c>
      <c r="J218" s="290">
        <v>466</v>
      </c>
      <c r="K218" s="290">
        <v>486</v>
      </c>
      <c r="L218" s="290">
        <v>541</v>
      </c>
      <c r="M218" s="290">
        <v>632</v>
      </c>
      <c r="N218" s="290">
        <v>525</v>
      </c>
      <c r="O218" s="290">
        <v>3285</v>
      </c>
      <c r="P218" s="290">
        <v>2005</v>
      </c>
      <c r="Q218" s="290">
        <v>1457</v>
      </c>
      <c r="R218" s="290">
        <v>1698</v>
      </c>
      <c r="S218" s="291">
        <v>8445</v>
      </c>
      <c r="T218" s="145"/>
    </row>
    <row r="219" spans="1:20">
      <c r="A219" s="1094"/>
      <c r="B219" s="289" t="s">
        <v>266</v>
      </c>
      <c r="C219" s="290">
        <v>4948</v>
      </c>
      <c r="D219" s="290">
        <v>5579</v>
      </c>
      <c r="E219" s="290">
        <v>4972</v>
      </c>
      <c r="F219" s="290">
        <v>5648</v>
      </c>
      <c r="G219" s="290">
        <v>4882</v>
      </c>
      <c r="H219" s="290">
        <v>4020</v>
      </c>
      <c r="I219" s="290">
        <v>5123</v>
      </c>
      <c r="J219" s="290">
        <v>5127</v>
      </c>
      <c r="K219" s="290">
        <v>5453</v>
      </c>
      <c r="L219" s="290">
        <v>5224</v>
      </c>
      <c r="M219" s="290">
        <v>5448</v>
      </c>
      <c r="N219" s="290">
        <v>4931</v>
      </c>
      <c r="O219" s="290">
        <v>15499</v>
      </c>
      <c r="P219" s="290">
        <v>14550</v>
      </c>
      <c r="Q219" s="290">
        <v>15703</v>
      </c>
      <c r="R219" s="290">
        <v>15603</v>
      </c>
      <c r="S219" s="291">
        <v>61355</v>
      </c>
      <c r="T219" s="145"/>
    </row>
    <row r="220" spans="1:20" ht="13.8" thickBot="1">
      <c r="A220" s="1095"/>
      <c r="B220" s="287" t="s">
        <v>269</v>
      </c>
      <c r="C220" s="288">
        <v>9874</v>
      </c>
      <c r="D220" s="288">
        <v>10846</v>
      </c>
      <c r="E220" s="288">
        <v>9226</v>
      </c>
      <c r="F220" s="288">
        <v>10734</v>
      </c>
      <c r="G220" s="288">
        <v>8773</v>
      </c>
      <c r="H220" s="288">
        <v>7281</v>
      </c>
      <c r="I220" s="288">
        <v>9561</v>
      </c>
      <c r="J220" s="288">
        <v>9367</v>
      </c>
      <c r="K220" s="288">
        <v>9980</v>
      </c>
      <c r="L220" s="288">
        <v>9802</v>
      </c>
      <c r="M220" s="288">
        <v>10506</v>
      </c>
      <c r="N220" s="288">
        <v>9712</v>
      </c>
      <c r="O220" s="288">
        <v>29946</v>
      </c>
      <c r="P220" s="288">
        <v>26788</v>
      </c>
      <c r="Q220" s="288">
        <v>28908</v>
      </c>
      <c r="R220" s="288">
        <v>30020</v>
      </c>
      <c r="S220" s="288">
        <v>115662</v>
      </c>
      <c r="T220" s="173">
        <v>450.04669260700388</v>
      </c>
    </row>
    <row r="221" spans="1:20">
      <c r="A221" s="679" t="s">
        <v>258</v>
      </c>
      <c r="B221" s="294" t="s">
        <v>325</v>
      </c>
      <c r="C221" s="248"/>
      <c r="D221" s="248"/>
      <c r="E221" s="248"/>
      <c r="F221" s="248"/>
      <c r="G221" s="248"/>
      <c r="H221" s="248"/>
      <c r="I221" s="248"/>
      <c r="J221" s="248"/>
      <c r="K221" s="248"/>
      <c r="L221" s="248"/>
      <c r="M221" s="248"/>
      <c r="N221" s="248"/>
      <c r="O221" s="248"/>
      <c r="P221" s="248"/>
      <c r="Q221" s="248"/>
      <c r="R221" s="248"/>
      <c r="S221" s="295">
        <v>69800</v>
      </c>
      <c r="T221" s="173"/>
    </row>
    <row r="222" spans="1:20">
      <c r="A222" s="1087" t="s">
        <v>268</v>
      </c>
      <c r="B222" s="312" t="s">
        <v>250</v>
      </c>
      <c r="C222" s="313">
        <v>959.48999999999978</v>
      </c>
      <c r="D222" s="313">
        <v>993.75999999999931</v>
      </c>
      <c r="E222" s="313">
        <v>1054.8999999999996</v>
      </c>
      <c r="F222" s="313">
        <v>1185.5700000000006</v>
      </c>
      <c r="G222" s="313">
        <v>1123.7200000000012</v>
      </c>
      <c r="H222" s="313">
        <v>1276.2400000000002</v>
      </c>
      <c r="I222" s="313">
        <v>1385.79</v>
      </c>
      <c r="J222" s="313">
        <v>1191.3999999999996</v>
      </c>
      <c r="K222" s="313">
        <v>1367.13</v>
      </c>
      <c r="L222" s="313">
        <v>1426.4000000000005</v>
      </c>
      <c r="M222" s="313">
        <v>1666.1599999999999</v>
      </c>
      <c r="N222" s="313">
        <v>1482.3500000000004</v>
      </c>
      <c r="O222" s="313">
        <v>3008.1499999999987</v>
      </c>
      <c r="P222" s="313">
        <v>3585.530000000002</v>
      </c>
      <c r="Q222" s="313">
        <v>3944.3199999999997</v>
      </c>
      <c r="R222" s="313">
        <v>4574.9100000000008</v>
      </c>
      <c r="S222" s="313">
        <v>15112.910000000002</v>
      </c>
      <c r="T222" s="338">
        <v>58.805097276264547</v>
      </c>
    </row>
    <row r="223" spans="1:20">
      <c r="A223" s="1088"/>
      <c r="B223" s="312" t="s">
        <v>247</v>
      </c>
      <c r="C223" s="313">
        <v>15517</v>
      </c>
      <c r="D223" s="313">
        <v>15594</v>
      </c>
      <c r="E223" s="313">
        <v>15639</v>
      </c>
      <c r="F223" s="313">
        <v>17443</v>
      </c>
      <c r="G223" s="313">
        <v>15960</v>
      </c>
      <c r="H223" s="313">
        <v>16201</v>
      </c>
      <c r="I223" s="313">
        <v>19667</v>
      </c>
      <c r="J223" s="313">
        <v>17227</v>
      </c>
      <c r="K223" s="313">
        <v>20007</v>
      </c>
      <c r="L223" s="313">
        <v>20832</v>
      </c>
      <c r="M223" s="313">
        <v>23258</v>
      </c>
      <c r="N223" s="313">
        <v>20771</v>
      </c>
      <c r="O223" s="313">
        <v>46750</v>
      </c>
      <c r="P223" s="313">
        <v>49604</v>
      </c>
      <c r="Q223" s="313">
        <v>56901</v>
      </c>
      <c r="R223" s="313">
        <v>64861</v>
      </c>
      <c r="S223" s="313">
        <v>218116</v>
      </c>
      <c r="T223" s="338">
        <v>848.70038910505855</v>
      </c>
    </row>
    <row r="224" spans="1:20">
      <c r="A224" s="1089"/>
      <c r="B224" s="312" t="s">
        <v>261</v>
      </c>
      <c r="C224" s="314">
        <v>16.172133112382625</v>
      </c>
      <c r="D224" s="314">
        <v>15.691917565609414</v>
      </c>
      <c r="E224" s="314">
        <v>14.825101905393881</v>
      </c>
      <c r="F224" s="314">
        <v>14.712754202619829</v>
      </c>
      <c r="G224" s="314">
        <v>14.20282632684297</v>
      </c>
      <c r="H224" s="314">
        <v>12.694320817401113</v>
      </c>
      <c r="I224" s="314">
        <v>14.191904978387779</v>
      </c>
      <c r="J224" s="314">
        <v>14.459459459459463</v>
      </c>
      <c r="K224" s="314">
        <v>14.634306905707575</v>
      </c>
      <c r="L224" s="314">
        <v>14.604598990465503</v>
      </c>
      <c r="M224" s="314">
        <v>13.95904354923897</v>
      </c>
      <c r="N224" s="314">
        <v>14.012210341687183</v>
      </c>
      <c r="O224" s="314">
        <v>15.541113308844313</v>
      </c>
      <c r="P224" s="314">
        <v>13.834495876481293</v>
      </c>
      <c r="Q224" s="314">
        <v>14.426060765860782</v>
      </c>
      <c r="R224" s="314">
        <v>14.177546662120127</v>
      </c>
      <c r="S224" s="314">
        <v>14.432428963052118</v>
      </c>
      <c r="T224" s="318">
        <v>14.432428963052134</v>
      </c>
    </row>
  </sheetData>
  <mergeCells count="66">
    <mergeCell ref="A32:A34"/>
    <mergeCell ref="A35:A37"/>
    <mergeCell ref="A38:A40"/>
    <mergeCell ref="A41:A43"/>
    <mergeCell ref="A44:A46"/>
    <mergeCell ref="A47:A52"/>
    <mergeCell ref="A74:A79"/>
    <mergeCell ref="A80:A82"/>
    <mergeCell ref="A115:A116"/>
    <mergeCell ref="A103:A108"/>
    <mergeCell ref="A59:A61"/>
    <mergeCell ref="A62:A64"/>
    <mergeCell ref="A65:A67"/>
    <mergeCell ref="A68:A70"/>
    <mergeCell ref="A71:A73"/>
    <mergeCell ref="A88:A90"/>
    <mergeCell ref="A100:A102"/>
    <mergeCell ref="A84:A85"/>
    <mergeCell ref="A86:A87"/>
    <mergeCell ref="A117:A119"/>
    <mergeCell ref="A17:A19"/>
    <mergeCell ref="A3:A4"/>
    <mergeCell ref="A5:A7"/>
    <mergeCell ref="A8:A10"/>
    <mergeCell ref="A11:A13"/>
    <mergeCell ref="A14:A16"/>
    <mergeCell ref="A110:A112"/>
    <mergeCell ref="A57:A58"/>
    <mergeCell ref="A26:A28"/>
    <mergeCell ref="A30:A31"/>
    <mergeCell ref="A53:A55"/>
    <mergeCell ref="A91:A93"/>
    <mergeCell ref="A94:A96"/>
    <mergeCell ref="A97:A99"/>
    <mergeCell ref="A20:A25"/>
    <mergeCell ref="A120:A122"/>
    <mergeCell ref="A123:A125"/>
    <mergeCell ref="A126:A128"/>
    <mergeCell ref="A129:A131"/>
    <mergeCell ref="A132:A137"/>
    <mergeCell ref="A138:A140"/>
    <mergeCell ref="A142:A143"/>
    <mergeCell ref="A144:A146"/>
    <mergeCell ref="A147:A149"/>
    <mergeCell ref="A150:A152"/>
    <mergeCell ref="A153:A155"/>
    <mergeCell ref="A156:A158"/>
    <mergeCell ref="A159:A164"/>
    <mergeCell ref="A165:A167"/>
    <mergeCell ref="A169:A170"/>
    <mergeCell ref="A171:A173"/>
    <mergeCell ref="A174:A176"/>
    <mergeCell ref="A177:A179"/>
    <mergeCell ref="A180:A182"/>
    <mergeCell ref="A183:A185"/>
    <mergeCell ref="A186:A191"/>
    <mergeCell ref="A192:A194"/>
    <mergeCell ref="A196:A197"/>
    <mergeCell ref="A198:A199"/>
    <mergeCell ref="A200:A202"/>
    <mergeCell ref="A222:A224"/>
    <mergeCell ref="A203:A205"/>
    <mergeCell ref="A206:A208"/>
    <mergeCell ref="A209:A211"/>
    <mergeCell ref="A212:A214"/>
    <mergeCell ref="A215:A220"/>
  </mergeCells>
  <dataValidations count="2">
    <dataValidation type="whole" allowBlank="1" showInputMessage="1" showErrorMessage="1" errorTitle="Invalid Data" error="Enter only Monday-Friday operating days for the month" sqref="C57:N57 C30:N30 C3:N3">
      <formula1>0</formula1>
      <formula2>23</formula2>
    </dataValidation>
    <dataValidation type="textLength" allowBlank="1" showInputMessage="1" showErrorMessage="1" errorTitle="Not editable" error="This field cannot be edited" sqref="O57:S57 O84:S84 O30:S30 O3:S3">
      <formula1>75</formula1>
      <formula2>76</formula2>
    </dataValidation>
  </dataValidations>
  <printOptions horizontalCentered="1"/>
  <pageMargins left="0.2" right="0.2" top="0.5" bottom="0.5" header="0.3" footer="0.3"/>
  <pageSetup scale="77" fitToHeight="3" orientation="landscape" horizontalDpi="1200" verticalDpi="1200" r:id="rId1"/>
  <headerFooter>
    <oddFooter>&amp;L&amp;A&amp;R&amp;P</oddFooter>
  </headerFooter>
  <rowBreaks count="1" manualBreakCount="1">
    <brk id="28" max="22" man="1"/>
  </rowBreaks>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ignoredErrors>
    <ignoredError sqref="C26:S27 C53:S54 C61:N61 B80:S81 B82 C49:N49 C70:N70 C73:N73 C88:N89 C91:N92 C94:N95 C3:N3 C30 C37:N38 C40:N41 C43:N44 C51:N52 C64:N64 C67:N67 C79:N79 C97:N98 S97:S105 C10:N11 D29:N30 B46:G46 C34:N35 C57:N58 C76:N76 S20:S24 T32:T33 S47:S51 S88:S89 S91:S92 S94:S95 C22:N25 I46:N46 S74:S78 B9 B21:N21 S3 C84:S84 C32:N32 C5:N5 C16:N17 C13:N14 C7:N7 C19:N20 O106:R107 O105:R105 C109:R109 O108:S108" unlockedFormula="1"/>
    <ignoredError sqref="T35:T36 T44:T45 C110:S111 T38:T39 T41:T42 T47:T51 S106:S107 C106:N107 C108:N108" evalError="1" unlockedFormula="1"/>
    <ignoredError sqref="T11:T12 T20:T24 T60 B55 T91:T92 T62:T63 T74:T78 T71:T72 T68:T69 T65:T66 T94:T95 T97:T98 T100:T101 T103:T107" evalError="1"/>
    <ignoredError sqref="D90:N90 C90 C93:N93 C96:N96 C99:N104 S90 S93 S96 S5:S13 S15:S19 S14 C105:N105 S59:S73 S34:S46 S32:S33" formula="1" unlockedFormula="1"/>
    <ignoredError sqref="O4:S4 O15:R19 O14:R14 O5:R13 O90:R90 O93:R102 O58:S58 O59:R73 O31:S31 O34:R46 O32:R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Normal="100" workbookViewId="0">
      <selection activeCell="I14" sqref="I14"/>
    </sheetView>
  </sheetViews>
  <sheetFormatPr defaultRowHeight="13.2"/>
  <cols>
    <col min="1" max="1" width="30.33203125" style="3" bestFit="1" customWidth="1"/>
    <col min="2" max="2" width="10" style="3" bestFit="1" customWidth="1"/>
    <col min="3" max="3" width="5.5546875" style="3" bestFit="1" customWidth="1"/>
    <col min="4" max="4" width="10" style="3" bestFit="1" customWidth="1"/>
    <col min="5" max="5" width="5.5546875" style="3" bestFit="1" customWidth="1"/>
    <col min="6" max="6" width="4.5546875" style="3" customWidth="1"/>
  </cols>
  <sheetData>
    <row r="1" spans="1:9" s="11" customFormat="1" ht="18" customHeight="1">
      <c r="A1" s="1109" t="s">
        <v>86</v>
      </c>
      <c r="B1" s="851" t="s">
        <v>486</v>
      </c>
      <c r="C1" s="58" t="s">
        <v>166</v>
      </c>
      <c r="D1" s="851" t="s">
        <v>487</v>
      </c>
      <c r="E1" s="58" t="s">
        <v>166</v>
      </c>
      <c r="F1" s="54"/>
    </row>
    <row r="2" spans="1:9" s="11" customFormat="1">
      <c r="A2" s="1110"/>
      <c r="B2" s="852" t="s">
        <v>20</v>
      </c>
      <c r="C2" s="44" t="s">
        <v>20</v>
      </c>
      <c r="D2" s="852" t="s">
        <v>7</v>
      </c>
      <c r="E2" s="44" t="s">
        <v>20</v>
      </c>
      <c r="F2" s="54"/>
    </row>
    <row r="3" spans="1:9" s="11" customFormat="1">
      <c r="A3" s="884" t="s">
        <v>182</v>
      </c>
      <c r="B3" s="60"/>
      <c r="C3" s="61"/>
      <c r="D3" s="60"/>
      <c r="E3" s="61"/>
      <c r="F3" s="54"/>
    </row>
    <row r="4" spans="1:9">
      <c r="A4" s="885" t="s">
        <v>33</v>
      </c>
      <c r="B4" s="55">
        <v>32004</v>
      </c>
      <c r="C4" s="76">
        <f>B4/$B$9</f>
        <v>0.22013123684536337</v>
      </c>
      <c r="D4" s="55">
        <f>SystemOverview!N5</f>
        <v>18187</v>
      </c>
      <c r="E4" s="76">
        <f>IFERROR(D4/$D$9,0)</f>
        <v>0.22593669250645995</v>
      </c>
      <c r="F4" s="29"/>
    </row>
    <row r="5" spans="1:9">
      <c r="A5" s="885" t="s">
        <v>21</v>
      </c>
      <c r="B5" s="55">
        <v>35303</v>
      </c>
      <c r="C5" s="76">
        <f>B5/$B$9</f>
        <v>0.24282255512910458</v>
      </c>
      <c r="D5" s="55">
        <f>SystemOverview!N6</f>
        <v>17050</v>
      </c>
      <c r="E5" s="76">
        <f>IFERROR(D5/$D$9,0)</f>
        <v>0.21181176704432519</v>
      </c>
      <c r="F5" s="29"/>
    </row>
    <row r="6" spans="1:9">
      <c r="A6" s="886" t="s">
        <v>304</v>
      </c>
      <c r="B6" s="55">
        <v>39910</v>
      </c>
      <c r="C6" s="76">
        <f>B6/$B$9</f>
        <v>0.27451061312643582</v>
      </c>
      <c r="D6" s="55">
        <f>SystemOverview!N7</f>
        <v>23102</v>
      </c>
      <c r="E6" s="76">
        <f>IFERROR(D6/$D$9,0)</f>
        <v>0.28699562711190618</v>
      </c>
      <c r="F6" s="29"/>
    </row>
    <row r="7" spans="1:9">
      <c r="A7" s="885" t="s">
        <v>188</v>
      </c>
      <c r="B7" s="55">
        <v>8445</v>
      </c>
      <c r="C7" s="76">
        <f>B7/$B$9</f>
        <v>5.8086748380174157E-2</v>
      </c>
      <c r="D7" s="55">
        <f>SystemOverview!N8</f>
        <v>4226</v>
      </c>
      <c r="E7" s="76">
        <f>IFERROR(D7/$D$9,0)</f>
        <v>5.249950308089843E-2</v>
      </c>
      <c r="F7" s="29"/>
    </row>
    <row r="8" spans="1:9">
      <c r="A8" s="885" t="s">
        <v>163</v>
      </c>
      <c r="B8" s="55">
        <v>29724</v>
      </c>
      <c r="C8" s="76">
        <f>B8/$B$9</f>
        <v>0.20444884651892203</v>
      </c>
      <c r="D8" s="55">
        <f>SystemOverview!N13</f>
        <v>17931</v>
      </c>
      <c r="E8" s="76">
        <f>IFERROR(D8/$D$9,0)</f>
        <v>0.22275641025641027</v>
      </c>
      <c r="F8" s="29"/>
    </row>
    <row r="9" spans="1:9" s="2" customFormat="1">
      <c r="A9" s="887" t="s">
        <v>20</v>
      </c>
      <c r="B9" s="228">
        <v>145386</v>
      </c>
      <c r="C9" s="56">
        <f>SUM(C4:C8)</f>
        <v>1</v>
      </c>
      <c r="D9" s="228">
        <f>SUM(D4:D8)</f>
        <v>80496</v>
      </c>
      <c r="E9" s="251">
        <f>SUM(E4:E8)</f>
        <v>1</v>
      </c>
      <c r="F9" s="54"/>
    </row>
    <row r="10" spans="1:9">
      <c r="A10" s="884" t="s">
        <v>300</v>
      </c>
      <c r="B10" s="60"/>
      <c r="C10" s="62"/>
      <c r="D10" s="60"/>
      <c r="E10" s="62"/>
      <c r="F10" s="29"/>
    </row>
    <row r="11" spans="1:9">
      <c r="A11" s="885" t="s">
        <v>169</v>
      </c>
      <c r="B11" s="232">
        <v>35676</v>
      </c>
      <c r="C11" s="57">
        <f>B11/$B$15</f>
        <v>0.24538813916057942</v>
      </c>
      <c r="D11" s="232">
        <f>SystemOverview!N31-D14</f>
        <v>21039</v>
      </c>
      <c r="E11" s="57">
        <f>IFERROR(D11/$D$15,0)</f>
        <v>0.26135986185828786</v>
      </c>
      <c r="F11" s="29"/>
    </row>
    <row r="12" spans="1:9">
      <c r="A12" s="885" t="s">
        <v>167</v>
      </c>
      <c r="B12" s="232">
        <v>8445</v>
      </c>
      <c r="C12" s="57">
        <f>B12/$B$15</f>
        <v>5.8086748380174157E-2</v>
      </c>
      <c r="D12" s="232">
        <f>D7</f>
        <v>4226</v>
      </c>
      <c r="E12" s="57">
        <f>IFERROR(D12/$D$15,0)</f>
        <v>5.2498064366800913E-2</v>
      </c>
      <c r="F12" s="29"/>
    </row>
    <row r="13" spans="1:9">
      <c r="A13" s="885" t="s">
        <v>168</v>
      </c>
      <c r="B13" s="232">
        <v>61355</v>
      </c>
      <c r="C13" s="57">
        <f>B13/$B$15</f>
        <v>0.4220144993328106</v>
      </c>
      <c r="D13" s="232">
        <f>SystemOverview!N33</f>
        <v>32131.205999999998</v>
      </c>
      <c r="E13" s="57">
        <f>IFERROR(D13/$D$15,0)</f>
        <v>0.39915431158801223</v>
      </c>
      <c r="F13" s="29"/>
      <c r="G13" s="13"/>
      <c r="H13" s="13"/>
      <c r="I13" s="13"/>
    </row>
    <row r="14" spans="1:9">
      <c r="A14" s="885" t="s">
        <v>148</v>
      </c>
      <c r="B14" s="55">
        <v>39910</v>
      </c>
      <c r="C14" s="57">
        <f>B14/$B$15</f>
        <v>0.27451061312643582</v>
      </c>
      <c r="D14" s="55">
        <f>D6</f>
        <v>23102</v>
      </c>
      <c r="E14" s="57">
        <f>IFERROR(D14/$D$15,0)</f>
        <v>0.28698776218689892</v>
      </c>
      <c r="F14" s="29"/>
      <c r="G14" s="13"/>
      <c r="H14" s="13"/>
      <c r="I14" s="13"/>
    </row>
    <row r="15" spans="1:9" s="2" customFormat="1">
      <c r="A15" s="887" t="s">
        <v>20</v>
      </c>
      <c r="B15" s="228">
        <v>145386</v>
      </c>
      <c r="C15" s="56">
        <f>C11+C12+C13+C14</f>
        <v>1</v>
      </c>
      <c r="D15" s="228">
        <f>D11+D12+D13+D14</f>
        <v>80498.206000000006</v>
      </c>
      <c r="E15" s="56">
        <f>SUM(E11:E14)</f>
        <v>0.99999999999999989</v>
      </c>
      <c r="F15" s="54"/>
    </row>
    <row r="16" spans="1:9" s="11" customFormat="1">
      <c r="A16" s="884" t="s">
        <v>299</v>
      </c>
      <c r="B16" s="73" t="s">
        <v>174</v>
      </c>
      <c r="C16" s="61"/>
      <c r="D16" s="73" t="s">
        <v>174</v>
      </c>
      <c r="E16" s="61"/>
    </row>
    <row r="17" spans="1:6">
      <c r="A17" s="885" t="s">
        <v>14</v>
      </c>
      <c r="B17" s="55">
        <v>33981</v>
      </c>
      <c r="C17" s="57">
        <f t="shared" ref="C17:C26" si="0">B17/$B$27</f>
        <v>0.23868257837029128</v>
      </c>
      <c r="D17" s="55">
        <f>'3b-RM Report Data'!CP85</f>
        <v>17751</v>
      </c>
      <c r="E17" s="57">
        <f t="shared" ref="E17:E26" si="1">IFERROR(D17/$D$27,0)</f>
        <v>0.22585980939778352</v>
      </c>
      <c r="F17" s="29"/>
    </row>
    <row r="18" spans="1:6">
      <c r="A18" s="885" t="s">
        <v>22</v>
      </c>
      <c r="B18" s="55">
        <v>2866</v>
      </c>
      <c r="C18" s="57">
        <f t="shared" si="0"/>
        <v>2.0130786898833315E-2</v>
      </c>
      <c r="D18" s="55">
        <f>'3b-RM Report Data'!CP86</f>
        <v>1222</v>
      </c>
      <c r="E18" s="57">
        <f t="shared" si="1"/>
        <v>1.5548458514117033E-2</v>
      </c>
      <c r="F18" s="29"/>
    </row>
    <row r="19" spans="1:6">
      <c r="A19" s="885" t="s">
        <v>159</v>
      </c>
      <c r="B19" s="55">
        <v>9489</v>
      </c>
      <c r="C19" s="57">
        <f t="shared" si="0"/>
        <v>6.6650745597707367E-2</v>
      </c>
      <c r="D19" s="55">
        <f>'3b-RM Report Data'!CP87</f>
        <v>4662</v>
      </c>
      <c r="E19" s="57">
        <f t="shared" si="1"/>
        <v>5.9318259895919483E-2</v>
      </c>
      <c r="F19" s="29"/>
    </row>
    <row r="20" spans="1:6">
      <c r="A20" s="885" t="s">
        <v>160</v>
      </c>
      <c r="B20" s="55">
        <v>2323</v>
      </c>
      <c r="C20" s="57">
        <f t="shared" si="0"/>
        <v>1.6316754349612626E-2</v>
      </c>
      <c r="D20" s="55">
        <f>'3b-RM Report Data'!CP88</f>
        <v>1345</v>
      </c>
      <c r="E20" s="57">
        <f t="shared" si="1"/>
        <v>1.7113483389105899E-2</v>
      </c>
      <c r="F20" s="29"/>
    </row>
    <row r="21" spans="1:6">
      <c r="A21" s="885" t="s">
        <v>185</v>
      </c>
      <c r="B21" s="55">
        <v>10030</v>
      </c>
      <c r="C21" s="57">
        <f t="shared" si="0"/>
        <v>7.0450730144905147E-2</v>
      </c>
      <c r="D21" s="55">
        <f>'3b-RM Report Data'!CP89</f>
        <v>5011</v>
      </c>
      <c r="E21" s="57">
        <f t="shared" si="1"/>
        <v>6.3758858931456996E-2</v>
      </c>
      <c r="F21" s="29"/>
    </row>
    <row r="22" spans="1:6">
      <c r="A22" s="885" t="s">
        <v>161</v>
      </c>
      <c r="B22" s="55">
        <v>7148</v>
      </c>
      <c r="C22" s="57">
        <f t="shared" si="0"/>
        <v>5.0207559229888531E-2</v>
      </c>
      <c r="D22" s="55">
        <f>'3b-RM Report Data'!CP90</f>
        <v>4235</v>
      </c>
      <c r="E22" s="57">
        <f t="shared" si="1"/>
        <v>5.3885206061608543E-2</v>
      </c>
      <c r="F22" s="29"/>
    </row>
    <row r="23" spans="1:6">
      <c r="A23" s="885" t="s">
        <v>143</v>
      </c>
      <c r="B23" s="55">
        <v>29724</v>
      </c>
      <c r="C23" s="57">
        <f t="shared" si="0"/>
        <v>0.20878140606452247</v>
      </c>
      <c r="D23" s="55">
        <f>'3b-RM Report Data'!CP91</f>
        <v>17931</v>
      </c>
      <c r="E23" s="57">
        <f t="shared" si="1"/>
        <v>0.22815008970264528</v>
      </c>
      <c r="F23" s="29"/>
    </row>
    <row r="24" spans="1:6">
      <c r="A24" s="886" t="s">
        <v>304</v>
      </c>
      <c r="B24" s="55">
        <v>38896</v>
      </c>
      <c r="C24" s="57">
        <f t="shared" si="0"/>
        <v>0.27320554334159824</v>
      </c>
      <c r="D24" s="55">
        <f>'3b-RM Report Data'!CP92</f>
        <v>22398</v>
      </c>
      <c r="E24" s="57">
        <f t="shared" si="1"/>
        <v>0.28498721260163118</v>
      </c>
      <c r="F24" s="29"/>
    </row>
    <row r="25" spans="1:6">
      <c r="A25" s="885" t="s">
        <v>236</v>
      </c>
      <c r="B25" s="55">
        <v>7831</v>
      </c>
      <c r="C25" s="57">
        <f t="shared" si="0"/>
        <v>5.5004951920713079E-2</v>
      </c>
      <c r="D25" s="55">
        <f>'3b-RM Report Data'!CP93</f>
        <v>4003</v>
      </c>
      <c r="E25" s="57">
        <f t="shared" si="1"/>
        <v>5.0933289224231168E-2</v>
      </c>
      <c r="F25" s="29"/>
    </row>
    <row r="26" spans="1:6">
      <c r="A26" s="885" t="s">
        <v>162</v>
      </c>
      <c r="B26" s="55">
        <v>81</v>
      </c>
      <c r="C26" s="57">
        <f t="shared" si="0"/>
        <v>5.6894408192794776E-4</v>
      </c>
      <c r="D26" s="55">
        <f>'3b-RM Report Data'!CP94</f>
        <v>35</v>
      </c>
      <c r="E26" s="57">
        <f t="shared" si="1"/>
        <v>4.4533228150089703E-4</v>
      </c>
      <c r="F26" s="29"/>
    </row>
    <row r="27" spans="1:6" s="2" customFormat="1">
      <c r="A27" s="887" t="s">
        <v>165</v>
      </c>
      <c r="B27" s="228">
        <v>142369</v>
      </c>
      <c r="C27" s="56">
        <f>SUM(C17:C26)</f>
        <v>1</v>
      </c>
      <c r="D27" s="228">
        <f>SUM(D17:D26)</f>
        <v>78593</v>
      </c>
      <c r="E27" s="56">
        <f>SUM(E17:E26)</f>
        <v>1</v>
      </c>
      <c r="F27" s="54"/>
    </row>
    <row r="28" spans="1:6" s="2" customFormat="1">
      <c r="A28" s="888" t="s">
        <v>175</v>
      </c>
      <c r="B28" s="74">
        <v>11864.083333333334</v>
      </c>
      <c r="C28" s="75"/>
      <c r="D28" s="74">
        <f>IFERROR(D27/'3b-RM Report Data'!C10,0)</f>
        <v>13098.833333333334</v>
      </c>
      <c r="E28" s="75"/>
      <c r="F28" s="54"/>
    </row>
    <row r="29" spans="1:6">
      <c r="B29" s="53"/>
      <c r="C29" s="27"/>
      <c r="D29" s="27"/>
      <c r="E29" s="28"/>
      <c r="F29" s="29"/>
    </row>
  </sheetData>
  <mergeCells count="1">
    <mergeCell ref="A1:A2"/>
  </mergeCells>
  <phoneticPr fontId="0" type="noConversion"/>
  <printOptions horizontalCentered="1"/>
  <pageMargins left="0.5" right="0.5" top="0.75" bottom="0.75" header="0.5" footer="0.5"/>
  <pageSetup orientation="landscape" horizontalDpi="4294967292" r:id="rId1"/>
  <headerFooter alignWithMargins="0"/>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4"/>
  <sheetViews>
    <sheetView zoomScale="70" zoomScaleNormal="70" workbookViewId="0">
      <selection activeCell="D16" sqref="D16"/>
    </sheetView>
  </sheetViews>
  <sheetFormatPr defaultColWidth="9.109375" defaultRowHeight="13.2"/>
  <cols>
    <col min="1" max="1" width="44.88671875" customWidth="1"/>
    <col min="2" max="3" width="7.5546875" bestFit="1" customWidth="1"/>
    <col min="4" max="4" width="11" bestFit="1" customWidth="1"/>
    <col min="5" max="5" width="8.109375" bestFit="1" customWidth="1"/>
    <col min="6" max="7" width="10.33203125" bestFit="1" customWidth="1"/>
    <col min="8" max="8" width="8.33203125" bestFit="1" customWidth="1"/>
    <col min="9" max="9" width="9.109375" bestFit="1" customWidth="1"/>
    <col min="10" max="13" width="7.5546875" bestFit="1" customWidth="1"/>
    <col min="14" max="14" width="42.44140625" style="2" bestFit="1" customWidth="1"/>
    <col min="15" max="15" width="9.109375" style="82"/>
    <col min="16" max="17" width="14.88671875" customWidth="1"/>
    <col min="18" max="18" width="14.44140625" customWidth="1"/>
    <col min="19" max="19" width="14" customWidth="1"/>
    <col min="20" max="20" width="14.44140625" customWidth="1"/>
    <col min="21" max="21" width="14.88671875" customWidth="1"/>
    <col min="22" max="22" width="17.5546875" style="2" customWidth="1"/>
    <col min="23" max="23" width="2.6640625" style="9" customWidth="1"/>
    <col min="24" max="24" width="19.6640625" hidden="1" customWidth="1"/>
    <col min="25" max="25" width="13.6640625" hidden="1" customWidth="1"/>
    <col min="26" max="26" width="15.88671875" hidden="1" customWidth="1"/>
    <col min="27" max="27" width="0" hidden="1" customWidth="1"/>
    <col min="28" max="16384" width="9.109375" style="82"/>
  </cols>
  <sheetData>
    <row r="1" spans="1:27" ht="17.399999999999999" customHeight="1">
      <c r="A1" s="854" t="s">
        <v>9</v>
      </c>
      <c r="C1" s="3"/>
      <c r="D1" s="3"/>
      <c r="E1" s="3"/>
      <c r="F1" s="3"/>
      <c r="G1" s="681"/>
      <c r="H1" s="681"/>
      <c r="I1" s="681"/>
      <c r="J1" s="681"/>
      <c r="K1" s="681"/>
      <c r="L1" s="681"/>
      <c r="M1" s="681"/>
      <c r="N1" s="855" t="s">
        <v>178</v>
      </c>
      <c r="P1" s="681"/>
      <c r="Q1" s="681"/>
      <c r="R1" s="681"/>
      <c r="S1" s="681"/>
      <c r="T1" s="681"/>
      <c r="U1" s="681"/>
      <c r="V1" s="855" t="s">
        <v>178</v>
      </c>
      <c r="W1" s="682"/>
      <c r="X1" s="681"/>
      <c r="Y1" s="681"/>
      <c r="Z1" s="681"/>
      <c r="AA1" s="681"/>
    </row>
    <row r="2" spans="1:27" s="700" customFormat="1" ht="17.399999999999999">
      <c r="A2" s="853" t="s">
        <v>487</v>
      </c>
      <c r="B2" s="891" t="s">
        <v>8</v>
      </c>
      <c r="C2" s="889" t="s">
        <v>78</v>
      </c>
      <c r="D2" s="889" t="s">
        <v>79</v>
      </c>
      <c r="E2" s="889" t="s">
        <v>80</v>
      </c>
      <c r="F2" s="889" t="s">
        <v>81</v>
      </c>
      <c r="G2" s="889" t="s">
        <v>82</v>
      </c>
      <c r="H2" s="889" t="s">
        <v>83</v>
      </c>
      <c r="I2" s="889" t="s">
        <v>84</v>
      </c>
      <c r="J2" s="889" t="s">
        <v>85</v>
      </c>
      <c r="K2" s="889" t="s">
        <v>4</v>
      </c>
      <c r="L2" s="889" t="s">
        <v>5</v>
      </c>
      <c r="M2" s="889" t="s">
        <v>6</v>
      </c>
      <c r="N2" s="890" t="s">
        <v>18</v>
      </c>
      <c r="W2" s="683"/>
      <c r="X2" s="137"/>
      <c r="Y2" s="137"/>
      <c r="Z2" s="137"/>
      <c r="AA2" s="137"/>
    </row>
    <row r="3" spans="1:27" s="686" customFormat="1">
      <c r="A3" s="70" t="s">
        <v>144</v>
      </c>
      <c r="B3" s="63">
        <f>'OpStatTotals(AllServices)'!C3</f>
        <v>31</v>
      </c>
      <c r="C3" s="63">
        <f>'OpStatTotals(AllServices)'!D3</f>
        <v>31</v>
      </c>
      <c r="D3" s="63">
        <f>'OpStatTotals(AllServices)'!E3</f>
        <v>30</v>
      </c>
      <c r="E3" s="63">
        <f>'OpStatTotals(AllServices)'!F3</f>
        <v>31</v>
      </c>
      <c r="F3" s="63">
        <f>'OpStatTotals(AllServices)'!G3</f>
        <v>29</v>
      </c>
      <c r="G3" s="63">
        <f>'OpStatTotals(AllServices)'!H3</f>
        <v>30</v>
      </c>
      <c r="H3" s="63">
        <f>'OpStatTotals(AllServices)'!I3</f>
        <v>0</v>
      </c>
      <c r="I3" s="63">
        <f>'OpStatTotals(AllServices)'!J3</f>
        <v>0</v>
      </c>
      <c r="J3" s="63">
        <f>'OpStatTotals(AllServices)'!K3</f>
        <v>0</v>
      </c>
      <c r="K3" s="63">
        <f>'OpStatTotals(AllServices)'!L3</f>
        <v>0</v>
      </c>
      <c r="L3" s="63">
        <f>'OpStatTotals(AllServices)'!M3</f>
        <v>0</v>
      </c>
      <c r="M3" s="63">
        <f>'OpStatTotals(AllServices)'!N3</f>
        <v>0</v>
      </c>
      <c r="N3" s="49">
        <f>SUM(B3:M3)</f>
        <v>182</v>
      </c>
      <c r="W3" s="9"/>
      <c r="X3" s="684"/>
      <c r="Y3" s="684"/>
      <c r="Z3" s="685"/>
    </row>
    <row r="4" spans="1:27" ht="5.25" customHeight="1">
      <c r="A4" s="64"/>
      <c r="B4" s="65"/>
      <c r="C4" s="65"/>
      <c r="D4" s="65"/>
      <c r="E4" s="65"/>
      <c r="F4" s="65"/>
      <c r="G4" s="65"/>
      <c r="H4" s="65"/>
      <c r="I4" s="65"/>
      <c r="J4" s="65"/>
      <c r="K4" s="65"/>
      <c r="L4" s="65"/>
      <c r="M4" s="65"/>
      <c r="N4" s="66"/>
      <c r="P4" s="82"/>
      <c r="Q4" s="82"/>
      <c r="R4" s="82"/>
      <c r="S4" s="82"/>
      <c r="T4" s="82"/>
      <c r="U4" s="82"/>
      <c r="V4" s="82"/>
      <c r="W4" s="687"/>
      <c r="X4" s="4"/>
      <c r="Y4" s="4"/>
      <c r="Z4" s="4"/>
      <c r="AA4" s="4"/>
    </row>
    <row r="5" spans="1:27" s="689" customFormat="1">
      <c r="A5" s="208" t="s">
        <v>145</v>
      </c>
      <c r="B5" s="507">
        <f>'3b-RM Report Data'!J80</f>
        <v>2940</v>
      </c>
      <c r="C5" s="507">
        <f>'3b-RM Report Data'!Q80</f>
        <v>3130</v>
      </c>
      <c r="D5" s="507">
        <f>'3b-RM Report Data'!X80</f>
        <v>3060</v>
      </c>
      <c r="E5" s="507">
        <f>'3b-RM Report Data'!AE80</f>
        <v>3477</v>
      </c>
      <c r="F5" s="507">
        <f>'3b-RM Report Data'!AL80</f>
        <v>2716</v>
      </c>
      <c r="G5" s="507">
        <f>'3b-RM Report Data'!AS80</f>
        <v>2864</v>
      </c>
      <c r="H5" s="507">
        <f>'3b-RM Report Data'!AZ80</f>
        <v>0</v>
      </c>
      <c r="I5" s="507">
        <f>'3b-RM Report Data'!BG80</f>
        <v>0</v>
      </c>
      <c r="J5" s="507">
        <f>'3b-RM Report Data'!BN80</f>
        <v>0</v>
      </c>
      <c r="K5" s="507">
        <f>'3b-RM Report Data'!BU80</f>
        <v>0</v>
      </c>
      <c r="L5" s="507">
        <f>'3b-RM Report Data'!CB80</f>
        <v>0</v>
      </c>
      <c r="M5" s="507">
        <f>'3b-RM Report Data'!CI80</f>
        <v>0</v>
      </c>
      <c r="N5" s="84">
        <f>SUM(B5:M5)</f>
        <v>18187</v>
      </c>
      <c r="W5" s="688"/>
      <c r="X5" s="23"/>
      <c r="Y5" s="23"/>
      <c r="Z5" s="6"/>
      <c r="AA5" s="6"/>
    </row>
    <row r="6" spans="1:27" s="689" customFormat="1">
      <c r="A6" s="208" t="s">
        <v>146</v>
      </c>
      <c r="B6" s="507">
        <f>'3b-RM Report Data'!J81</f>
        <v>3077</v>
      </c>
      <c r="C6" s="507">
        <f>'3b-RM Report Data'!Q81</f>
        <v>3027</v>
      </c>
      <c r="D6" s="507">
        <f>'3b-RM Report Data'!X81</f>
        <v>2833</v>
      </c>
      <c r="E6" s="507">
        <f>'3b-RM Report Data'!AE81</f>
        <v>3040</v>
      </c>
      <c r="F6" s="507">
        <f>'3b-RM Report Data'!AL81</f>
        <v>2502</v>
      </c>
      <c r="G6" s="507">
        <f>'3b-RM Report Data'!AS81</f>
        <v>2571</v>
      </c>
      <c r="H6" s="507">
        <f>'3b-RM Report Data'!AZ81</f>
        <v>0</v>
      </c>
      <c r="I6" s="507">
        <f>'3b-RM Report Data'!BG81</f>
        <v>0</v>
      </c>
      <c r="J6" s="507">
        <f>'3b-RM Report Data'!BN81</f>
        <v>0</v>
      </c>
      <c r="K6" s="507">
        <f>'3b-RM Report Data'!BU81</f>
        <v>0</v>
      </c>
      <c r="L6" s="507">
        <f>'3b-RM Report Data'!CB81</f>
        <v>0</v>
      </c>
      <c r="M6" s="507">
        <f>'3b-RM Report Data'!CI81</f>
        <v>0</v>
      </c>
      <c r="N6" s="84">
        <f>SUM(B6:M6)</f>
        <v>17050</v>
      </c>
      <c r="W6" s="688"/>
      <c r="X6" s="83"/>
      <c r="Y6" s="83"/>
    </row>
    <row r="7" spans="1:27" s="689" customFormat="1">
      <c r="A7" s="208" t="s">
        <v>305</v>
      </c>
      <c r="B7" s="67">
        <f>'OpStatsTotals(DR)'!C104</f>
        <v>4067</v>
      </c>
      <c r="C7" s="67">
        <f>'OpStatsTotals(DR)'!D104</f>
        <v>3991</v>
      </c>
      <c r="D7" s="67">
        <f>'OpStatsTotals(DR)'!E104</f>
        <v>3815</v>
      </c>
      <c r="E7" s="67">
        <f>'OpStatsTotals(DR)'!F104</f>
        <v>4190</v>
      </c>
      <c r="F7" s="67">
        <f>'OpStatsTotals(DR)'!G104</f>
        <v>3423</v>
      </c>
      <c r="G7" s="67">
        <f>'OpStatsTotals(DR)'!H104</f>
        <v>3616</v>
      </c>
      <c r="H7" s="67">
        <f>'OpStatsTotals(DR)'!I104</f>
        <v>0</v>
      </c>
      <c r="I7" s="67">
        <f>'OpStatsTotals(DR)'!J104</f>
        <v>0</v>
      </c>
      <c r="J7" s="69">
        <f>'OpStatsTotals(DR)'!K104</f>
        <v>0</v>
      </c>
      <c r="K7" s="67">
        <f>'OpStatsTotals(DR)'!L104</f>
        <v>0</v>
      </c>
      <c r="L7" s="67">
        <f>'OpStatsTotals(DR)'!M104</f>
        <v>0</v>
      </c>
      <c r="M7" s="67">
        <f>'OpStatsTotals(DR)'!N104</f>
        <v>0</v>
      </c>
      <c r="N7" s="69">
        <f>SUM(B7:M7)</f>
        <v>23102</v>
      </c>
      <c r="W7" s="690"/>
      <c r="X7" s="83"/>
      <c r="Y7" s="83"/>
    </row>
    <row r="8" spans="1:27" s="689" customFormat="1">
      <c r="A8" s="208" t="s">
        <v>293</v>
      </c>
      <c r="B8" s="67">
        <f>'OpStatsTotals(DR)'!C106</f>
        <v>445</v>
      </c>
      <c r="C8" s="67">
        <f>'OpStatsTotals(DR)'!D106</f>
        <v>850</v>
      </c>
      <c r="D8" s="67">
        <f>'OpStatsTotals(DR)'!E106</f>
        <v>564</v>
      </c>
      <c r="E8" s="67">
        <f>'OpStatsTotals(DR)'!F106</f>
        <v>1008</v>
      </c>
      <c r="F8" s="67">
        <f>'OpStatsTotals(DR)'!G106</f>
        <v>780</v>
      </c>
      <c r="G8" s="67">
        <f>'OpStatsTotals(DR)'!H106</f>
        <v>579</v>
      </c>
      <c r="H8" s="67">
        <f>'OpStatsTotals(DR)'!I106</f>
        <v>0</v>
      </c>
      <c r="I8" s="67">
        <f>'OpStatsTotals(DR)'!J106</f>
        <v>0</v>
      </c>
      <c r="J8" s="67">
        <f>'OpStatsTotals(DR)'!K106</f>
        <v>0</v>
      </c>
      <c r="K8" s="67">
        <f>'OpStatsTotals(DR)'!L106</f>
        <v>0</v>
      </c>
      <c r="L8" s="67">
        <f>'OpStatsTotals(DR)'!M106</f>
        <v>0</v>
      </c>
      <c r="M8" s="67">
        <f>'OpStatsTotals(DR)'!N106</f>
        <v>0</v>
      </c>
      <c r="N8" s="69">
        <f>SUM(B8:M8)</f>
        <v>4226</v>
      </c>
      <c r="W8" s="690"/>
      <c r="X8" s="83"/>
      <c r="Y8" s="83"/>
    </row>
    <row r="9" spans="1:27" s="9" customFormat="1">
      <c r="A9" s="49" t="s">
        <v>235</v>
      </c>
      <c r="B9" s="68">
        <f t="shared" ref="B9:M9" si="0">SUM(B5:B8)</f>
        <v>10529</v>
      </c>
      <c r="C9" s="68">
        <f t="shared" si="0"/>
        <v>10998</v>
      </c>
      <c r="D9" s="68">
        <f t="shared" si="0"/>
        <v>10272</v>
      </c>
      <c r="E9" s="68">
        <f t="shared" si="0"/>
        <v>11715</v>
      </c>
      <c r="F9" s="68">
        <f t="shared" si="0"/>
        <v>9421</v>
      </c>
      <c r="G9" s="68">
        <f t="shared" si="0"/>
        <v>9630</v>
      </c>
      <c r="H9" s="68">
        <f t="shared" si="0"/>
        <v>0</v>
      </c>
      <c r="I9" s="68">
        <f t="shared" si="0"/>
        <v>0</v>
      </c>
      <c r="J9" s="68">
        <f t="shared" si="0"/>
        <v>0</v>
      </c>
      <c r="K9" s="68">
        <f t="shared" si="0"/>
        <v>0</v>
      </c>
      <c r="L9" s="68">
        <f t="shared" si="0"/>
        <v>0</v>
      </c>
      <c r="M9" s="68">
        <f t="shared" si="0"/>
        <v>0</v>
      </c>
      <c r="N9" s="84">
        <f>SUM(B9:M9)</f>
        <v>62565</v>
      </c>
      <c r="W9" s="691"/>
      <c r="X9" s="81"/>
      <c r="Y9" s="81"/>
      <c r="Z9" s="136"/>
      <c r="AA9" s="692"/>
    </row>
    <row r="10" spans="1:27" s="689" customFormat="1">
      <c r="A10" s="70" t="s">
        <v>134</v>
      </c>
      <c r="B10" s="67">
        <f>'OpStatsTotals(MBTrailblazers)'!C148</f>
        <v>1270</v>
      </c>
      <c r="C10" s="67">
        <f>'OpStatsTotals(MBTrailblazers)'!D148</f>
        <v>1349</v>
      </c>
      <c r="D10" s="67">
        <f>'OpStatsTotals(MBTrailblazers)'!E148</f>
        <v>1192</v>
      </c>
      <c r="E10" s="67">
        <f>'OpStatsTotals(MBTrailblazers)'!F148</f>
        <v>1309</v>
      </c>
      <c r="F10" s="67">
        <f>'OpStatsTotals(MBTrailblazers)'!G148</f>
        <v>1103</v>
      </c>
      <c r="G10" s="67">
        <f>'OpStatsTotals(MBTrailblazers)'!H148</f>
        <v>895</v>
      </c>
      <c r="H10" s="67">
        <f>'OpStatsTotals(MBTrailblazers)'!I148</f>
        <v>0</v>
      </c>
      <c r="I10" s="67">
        <f>'OpStatsTotals(MBTrailblazers)'!J148</f>
        <v>0</v>
      </c>
      <c r="J10" s="67">
        <f>'OpStatsTotals(MBTrailblazers)'!K148</f>
        <v>0</v>
      </c>
      <c r="K10" s="67">
        <f>'OpStatsTotals(MBTrailblazers)'!L148</f>
        <v>0</v>
      </c>
      <c r="L10" s="67">
        <f>'OpStatsTotals(MBTrailblazers)'!M148</f>
        <v>0</v>
      </c>
      <c r="M10" s="67">
        <f>'OpStatsTotals(MBTrailblazers)'!N148</f>
        <v>0</v>
      </c>
      <c r="N10" s="69">
        <f t="shared" ref="N10:N20" si="1">SUM(B10:M10)</f>
        <v>7118</v>
      </c>
      <c r="W10" s="690"/>
      <c r="X10" s="83"/>
      <c r="Y10" s="83"/>
    </row>
    <row r="11" spans="1:27" s="689" customFormat="1">
      <c r="A11" s="70" t="s">
        <v>142</v>
      </c>
      <c r="B11" s="67">
        <f>'OpStatsTotals(MBTrailblazers)'!C149</f>
        <v>1383</v>
      </c>
      <c r="C11" s="67">
        <f>'OpStatsTotals(MBTrailblazers)'!D149</f>
        <v>1437</v>
      </c>
      <c r="D11" s="67">
        <f>'OpStatsTotals(MBTrailblazers)'!E149</f>
        <v>1098</v>
      </c>
      <c r="E11" s="67">
        <f>'OpStatsTotals(MBTrailblazers)'!F149</f>
        <v>1303</v>
      </c>
      <c r="F11" s="67">
        <f>'OpStatsTotals(MBTrailblazers)'!G149</f>
        <v>1245</v>
      </c>
      <c r="G11" s="67">
        <f>'OpStatsTotals(MBTrailblazers)'!H149</f>
        <v>1182</v>
      </c>
      <c r="H11" s="67">
        <f>'OpStatsTotals(MBTrailblazers)'!I149</f>
        <v>0</v>
      </c>
      <c r="I11" s="67">
        <f>'OpStatsTotals(MBTrailblazers)'!J149</f>
        <v>0</v>
      </c>
      <c r="J11" s="67">
        <f>'OpStatsTotals(MBTrailblazers)'!K149</f>
        <v>0</v>
      </c>
      <c r="K11" s="67">
        <f>'OpStatsTotals(MBTrailblazers)'!L149</f>
        <v>0</v>
      </c>
      <c r="L11" s="67">
        <f>'OpStatsTotals(MBTrailblazers)'!M149</f>
        <v>0</v>
      </c>
      <c r="M11" s="67">
        <f>'OpStatsTotals(MBTrailblazers)'!N149</f>
        <v>0</v>
      </c>
      <c r="N11" s="69">
        <f t="shared" si="1"/>
        <v>7648</v>
      </c>
      <c r="W11" s="688"/>
      <c r="X11" s="83"/>
      <c r="Y11" s="83"/>
    </row>
    <row r="12" spans="1:27" s="689" customFormat="1">
      <c r="A12" s="70" t="s">
        <v>136</v>
      </c>
      <c r="B12" s="67">
        <f>'OpStatsTotals(MBTrailblazers)'!C150</f>
        <v>537</v>
      </c>
      <c r="C12" s="67">
        <f>'OpStatsTotals(MBTrailblazers)'!D150</f>
        <v>518</v>
      </c>
      <c r="D12" s="67">
        <f>'OpStatsTotals(MBTrailblazers)'!E150</f>
        <v>538</v>
      </c>
      <c r="E12" s="67">
        <f>'OpStatsTotals(MBTrailblazers)'!F150</f>
        <v>604</v>
      </c>
      <c r="F12" s="67">
        <f>'OpStatsTotals(MBTrailblazers)'!G150</f>
        <v>505</v>
      </c>
      <c r="G12" s="67">
        <f>'OpStatsTotals(MBTrailblazers)'!H150</f>
        <v>463</v>
      </c>
      <c r="H12" s="67">
        <f>'OpStatsTotals(MBTrailblazers)'!I150</f>
        <v>0</v>
      </c>
      <c r="I12" s="67">
        <f>'OpStatsTotals(MBTrailblazers)'!J150</f>
        <v>0</v>
      </c>
      <c r="J12" s="67">
        <f>'OpStatsTotals(MBTrailblazers)'!K150</f>
        <v>0</v>
      </c>
      <c r="K12" s="67">
        <f>'OpStatsTotals(MBTrailblazers)'!L150</f>
        <v>0</v>
      </c>
      <c r="L12" s="67">
        <f>'OpStatsTotals(MBTrailblazers)'!M150</f>
        <v>0</v>
      </c>
      <c r="M12" s="67">
        <f>'OpStatsTotals(MBTrailblazers)'!N150</f>
        <v>0</v>
      </c>
      <c r="N12" s="69">
        <f t="shared" si="1"/>
        <v>3165</v>
      </c>
      <c r="W12" s="688"/>
      <c r="X12" s="83"/>
      <c r="Y12" s="83"/>
    </row>
    <row r="13" spans="1:27" s="9" customFormat="1">
      <c r="A13" s="49" t="s">
        <v>158</v>
      </c>
      <c r="B13" s="68">
        <f>SUM(B10:B12)</f>
        <v>3190</v>
      </c>
      <c r="C13" s="68">
        <f t="shared" ref="C13:M13" si="2">SUM(C10:C12)</f>
        <v>3304</v>
      </c>
      <c r="D13" s="68">
        <f t="shared" si="2"/>
        <v>2828</v>
      </c>
      <c r="E13" s="68">
        <f t="shared" si="2"/>
        <v>3216</v>
      </c>
      <c r="F13" s="68">
        <f t="shared" si="2"/>
        <v>2853</v>
      </c>
      <c r="G13" s="68">
        <f t="shared" si="2"/>
        <v>2540</v>
      </c>
      <c r="H13" s="68">
        <f t="shared" si="2"/>
        <v>0</v>
      </c>
      <c r="I13" s="68">
        <f t="shared" si="2"/>
        <v>0</v>
      </c>
      <c r="J13" s="68">
        <f t="shared" si="2"/>
        <v>0</v>
      </c>
      <c r="K13" s="68">
        <f t="shared" si="2"/>
        <v>0</v>
      </c>
      <c r="L13" s="68">
        <f t="shared" si="2"/>
        <v>0</v>
      </c>
      <c r="M13" s="68">
        <f t="shared" si="2"/>
        <v>0</v>
      </c>
      <c r="N13" s="84">
        <f t="shared" si="1"/>
        <v>17931</v>
      </c>
      <c r="W13" s="691"/>
      <c r="X13" s="81"/>
      <c r="Y13" s="81"/>
      <c r="Z13" s="136"/>
      <c r="AA13" s="692"/>
    </row>
    <row r="14" spans="1:27" s="9" customFormat="1">
      <c r="A14" s="49" t="s">
        <v>115</v>
      </c>
      <c r="B14" s="84">
        <f>B9+B13</f>
        <v>13719</v>
      </c>
      <c r="C14" s="68">
        <f t="shared" ref="C14:M14" si="3">C9+C13</f>
        <v>14302</v>
      </c>
      <c r="D14" s="68">
        <f t="shared" si="3"/>
        <v>13100</v>
      </c>
      <c r="E14" s="68">
        <f t="shared" si="3"/>
        <v>14931</v>
      </c>
      <c r="F14" s="68">
        <f t="shared" si="3"/>
        <v>12274</v>
      </c>
      <c r="G14" s="68">
        <f t="shared" si="3"/>
        <v>12170</v>
      </c>
      <c r="H14" s="68">
        <f t="shared" si="3"/>
        <v>0</v>
      </c>
      <c r="I14" s="68">
        <f t="shared" si="3"/>
        <v>0</v>
      </c>
      <c r="J14" s="68">
        <f t="shared" si="3"/>
        <v>0</v>
      </c>
      <c r="K14" s="68">
        <f t="shared" si="3"/>
        <v>0</v>
      </c>
      <c r="L14" s="68">
        <f t="shared" si="3"/>
        <v>0</v>
      </c>
      <c r="M14" s="68">
        <f t="shared" si="3"/>
        <v>0</v>
      </c>
      <c r="N14" s="84">
        <f t="shared" si="1"/>
        <v>80496</v>
      </c>
      <c r="W14" s="691"/>
      <c r="X14" s="136"/>
      <c r="Y14" s="692"/>
      <c r="Z14" s="136"/>
      <c r="AA14" s="692"/>
    </row>
    <row r="15" spans="1:27" s="686" customFormat="1">
      <c r="A15" s="70" t="s">
        <v>44</v>
      </c>
      <c r="B15" s="69">
        <f>Trips!G28</f>
        <v>386</v>
      </c>
      <c r="C15" s="69">
        <f>Trips!N28</f>
        <v>453</v>
      </c>
      <c r="D15" s="69">
        <f>Trips!U28</f>
        <v>368</v>
      </c>
      <c r="E15" s="69">
        <f>Trips!AB28</f>
        <v>437</v>
      </c>
      <c r="F15" s="69">
        <f>Trips!AI28</f>
        <v>331</v>
      </c>
      <c r="G15" s="69">
        <f>Trips!AP28</f>
        <v>391</v>
      </c>
      <c r="H15" s="69">
        <f>Trips!AW28</f>
        <v>0</v>
      </c>
      <c r="I15" s="69">
        <f>Trips!BD28</f>
        <v>0</v>
      </c>
      <c r="J15" s="69">
        <f>Trips!BK28</f>
        <v>0</v>
      </c>
      <c r="K15" s="69">
        <f>Trips!BR28</f>
        <v>0</v>
      </c>
      <c r="L15" s="69">
        <f>Trips!BY28</f>
        <v>0</v>
      </c>
      <c r="M15" s="69">
        <f>Trips!CF28</f>
        <v>0</v>
      </c>
      <c r="N15" s="69">
        <f t="shared" si="1"/>
        <v>2366</v>
      </c>
      <c r="W15" s="687"/>
      <c r="X15" s="81"/>
      <c r="Y15" s="81"/>
      <c r="Z15" s="9"/>
    </row>
    <row r="16" spans="1:27" s="9" customFormat="1">
      <c r="A16" s="49" t="s">
        <v>37</v>
      </c>
      <c r="B16" s="84">
        <f t="shared" ref="B16:M16" si="4">B14+B15</f>
        <v>14105</v>
      </c>
      <c r="C16" s="84">
        <f t="shared" si="4"/>
        <v>14755</v>
      </c>
      <c r="D16" s="84">
        <f t="shared" si="4"/>
        <v>13468</v>
      </c>
      <c r="E16" s="84">
        <f t="shared" si="4"/>
        <v>15368</v>
      </c>
      <c r="F16" s="84">
        <f t="shared" si="4"/>
        <v>12605</v>
      </c>
      <c r="G16" s="84">
        <f t="shared" si="4"/>
        <v>12561</v>
      </c>
      <c r="H16" s="84">
        <f t="shared" si="4"/>
        <v>0</v>
      </c>
      <c r="I16" s="84">
        <f t="shared" si="4"/>
        <v>0</v>
      </c>
      <c r="J16" s="84">
        <f t="shared" si="4"/>
        <v>0</v>
      </c>
      <c r="K16" s="84">
        <f t="shared" si="4"/>
        <v>0</v>
      </c>
      <c r="L16" s="84">
        <f t="shared" si="4"/>
        <v>0</v>
      </c>
      <c r="M16" s="84">
        <f t="shared" si="4"/>
        <v>0</v>
      </c>
      <c r="N16" s="84">
        <f t="shared" si="1"/>
        <v>82862</v>
      </c>
      <c r="W16" s="687"/>
      <c r="X16" s="81"/>
      <c r="Y16" s="81"/>
    </row>
    <row r="17" spans="1:27" s="686" customFormat="1">
      <c r="A17" s="70" t="s">
        <v>35</v>
      </c>
      <c r="B17" s="67">
        <f>Trips!E28</f>
        <v>407</v>
      </c>
      <c r="C17" s="67">
        <f>Trips!L28</f>
        <v>525</v>
      </c>
      <c r="D17" s="67">
        <f>Trips!S28</f>
        <v>524</v>
      </c>
      <c r="E17" s="67">
        <f>Trips!Z28</f>
        <v>694</v>
      </c>
      <c r="F17" s="67">
        <f>Trips!AG28</f>
        <v>463</v>
      </c>
      <c r="G17" s="69">
        <f>Trips!AN28</f>
        <v>520</v>
      </c>
      <c r="H17" s="67">
        <f>Trips!AU28</f>
        <v>0</v>
      </c>
      <c r="I17" s="67">
        <f>Trips!BB28</f>
        <v>0</v>
      </c>
      <c r="J17" s="67">
        <f>Trips!BI28</f>
        <v>0</v>
      </c>
      <c r="K17" s="67">
        <f>Trips!BP28</f>
        <v>0</v>
      </c>
      <c r="L17" s="67">
        <f>Trips!BW28</f>
        <v>0</v>
      </c>
      <c r="M17" s="67">
        <f>Trips!CD28</f>
        <v>0</v>
      </c>
      <c r="N17" s="69">
        <f t="shared" si="1"/>
        <v>3133</v>
      </c>
      <c r="W17" s="687"/>
      <c r="X17" s="81"/>
      <c r="Y17" s="81"/>
      <c r="Z17" s="9"/>
    </row>
    <row r="18" spans="1:27" s="686" customFormat="1">
      <c r="A18" s="70" t="s">
        <v>36</v>
      </c>
      <c r="B18" s="67">
        <f>Trips!F28</f>
        <v>291</v>
      </c>
      <c r="C18" s="67">
        <f>Trips!M28</f>
        <v>178</v>
      </c>
      <c r="D18" s="67">
        <f>Trips!T28</f>
        <v>216</v>
      </c>
      <c r="E18" s="67">
        <f>Trips!AA28</f>
        <v>193</v>
      </c>
      <c r="F18" s="67">
        <f>Trips!AH28</f>
        <v>108</v>
      </c>
      <c r="G18" s="67">
        <f>Trips!AO28</f>
        <v>152</v>
      </c>
      <c r="H18" s="67">
        <f>Trips!AV28</f>
        <v>0</v>
      </c>
      <c r="I18" s="67">
        <f>Trips!BC28</f>
        <v>0</v>
      </c>
      <c r="J18" s="67">
        <f>Trips!BJ28</f>
        <v>0</v>
      </c>
      <c r="K18" s="67">
        <f>Trips!BQ28</f>
        <v>0</v>
      </c>
      <c r="L18" s="67">
        <f>Trips!BX28</f>
        <v>0</v>
      </c>
      <c r="M18" s="67">
        <f>Trips!CE28</f>
        <v>0</v>
      </c>
      <c r="N18" s="69">
        <f t="shared" si="1"/>
        <v>1138</v>
      </c>
      <c r="W18" s="687"/>
      <c r="X18" s="81"/>
      <c r="Y18" s="81"/>
      <c r="Z18" s="9"/>
    </row>
    <row r="19" spans="1:27" s="9" customFormat="1">
      <c r="A19" s="49" t="s">
        <v>91</v>
      </c>
      <c r="B19" s="68">
        <f>B16-B17-B18</f>
        <v>13407</v>
      </c>
      <c r="C19" s="68">
        <f t="shared" ref="C19:M19" si="5">C16-C17-C18</f>
        <v>14052</v>
      </c>
      <c r="D19" s="68">
        <f t="shared" si="5"/>
        <v>12728</v>
      </c>
      <c r="E19" s="68">
        <f t="shared" si="5"/>
        <v>14481</v>
      </c>
      <c r="F19" s="68">
        <f t="shared" si="5"/>
        <v>12034</v>
      </c>
      <c r="G19" s="68">
        <f>G16-G17-G18</f>
        <v>11889</v>
      </c>
      <c r="H19" s="68">
        <f t="shared" si="5"/>
        <v>0</v>
      </c>
      <c r="I19" s="68">
        <f t="shared" si="5"/>
        <v>0</v>
      </c>
      <c r="J19" s="68">
        <f t="shared" si="5"/>
        <v>0</v>
      </c>
      <c r="K19" s="68">
        <f t="shared" si="5"/>
        <v>0</v>
      </c>
      <c r="L19" s="68">
        <f t="shared" si="5"/>
        <v>0</v>
      </c>
      <c r="M19" s="68">
        <f t="shared" si="5"/>
        <v>0</v>
      </c>
      <c r="N19" s="84">
        <f t="shared" si="1"/>
        <v>78591</v>
      </c>
      <c r="W19" s="691"/>
      <c r="X19" s="136"/>
      <c r="Y19" s="136"/>
    </row>
    <row r="20" spans="1:27" s="695" customFormat="1" ht="12.75" customHeight="1">
      <c r="A20" s="78" t="s">
        <v>179</v>
      </c>
      <c r="B20" s="79">
        <v>0</v>
      </c>
      <c r="C20" s="79">
        <v>0</v>
      </c>
      <c r="D20" s="79">
        <v>0</v>
      </c>
      <c r="E20" s="79">
        <v>0</v>
      </c>
      <c r="F20" s="79">
        <v>0</v>
      </c>
      <c r="G20" s="79">
        <v>0</v>
      </c>
      <c r="H20" s="79">
        <v>0</v>
      </c>
      <c r="I20" s="79">
        <v>0</v>
      </c>
      <c r="J20" s="79">
        <v>0</v>
      </c>
      <c r="K20" s="79">
        <v>0</v>
      </c>
      <c r="L20" s="79">
        <v>0</v>
      </c>
      <c r="M20" s="79">
        <v>0</v>
      </c>
      <c r="N20" s="693">
        <f t="shared" si="1"/>
        <v>0</v>
      </c>
      <c r="W20" s="694"/>
      <c r="X20" s="80"/>
      <c r="Y20" s="80"/>
    </row>
    <row r="21" spans="1:27" s="9" customFormat="1">
      <c r="A21" s="49" t="s">
        <v>180</v>
      </c>
      <c r="B21" s="68">
        <f t="shared" ref="B21:N21" si="6">B14+B20</f>
        <v>13719</v>
      </c>
      <c r="C21" s="68">
        <f t="shared" si="6"/>
        <v>14302</v>
      </c>
      <c r="D21" s="68">
        <f t="shared" si="6"/>
        <v>13100</v>
      </c>
      <c r="E21" s="68">
        <f t="shared" si="6"/>
        <v>14931</v>
      </c>
      <c r="F21" s="68">
        <f t="shared" si="6"/>
        <v>12274</v>
      </c>
      <c r="G21" s="68">
        <f t="shared" si="6"/>
        <v>12170</v>
      </c>
      <c r="H21" s="68">
        <f t="shared" si="6"/>
        <v>0</v>
      </c>
      <c r="I21" s="68">
        <f t="shared" si="6"/>
        <v>0</v>
      </c>
      <c r="J21" s="68">
        <f t="shared" si="6"/>
        <v>0</v>
      </c>
      <c r="K21" s="68">
        <f t="shared" si="6"/>
        <v>0</v>
      </c>
      <c r="L21" s="68">
        <f t="shared" si="6"/>
        <v>0</v>
      </c>
      <c r="M21" s="68">
        <f t="shared" si="6"/>
        <v>0</v>
      </c>
      <c r="N21" s="84">
        <f t="shared" si="6"/>
        <v>80496</v>
      </c>
      <c r="W21" s="691"/>
      <c r="X21" s="31"/>
      <c r="Y21" s="31"/>
      <c r="Z21" s="136"/>
      <c r="AA21" s="692"/>
    </row>
    <row r="22" spans="1:27" ht="5.25" customHeight="1">
      <c r="A22" s="64"/>
      <c r="B22" s="65"/>
      <c r="C22" s="65"/>
      <c r="D22" s="65"/>
      <c r="E22" s="65"/>
      <c r="F22" s="65"/>
      <c r="G22" s="65"/>
      <c r="H22" s="65"/>
      <c r="I22" s="65"/>
      <c r="J22" s="65"/>
      <c r="K22" s="65"/>
      <c r="L22" s="65"/>
      <c r="M22" s="65"/>
      <c r="N22" s="66"/>
      <c r="P22" s="82"/>
      <c r="Q22" s="82"/>
      <c r="R22" s="82"/>
      <c r="S22" s="82"/>
      <c r="T22" s="82"/>
      <c r="U22" s="82"/>
      <c r="V22" s="82"/>
      <c r="W22" s="687"/>
      <c r="X22" s="5"/>
      <c r="Y22" s="5"/>
      <c r="Z22" s="4"/>
      <c r="AA22" s="4"/>
    </row>
    <row r="23" spans="1:27" s="689" customFormat="1">
      <c r="A23" s="208" t="s">
        <v>87</v>
      </c>
      <c r="B23" s="507">
        <f>'3b-RM Report Data'!J96</f>
        <v>12013</v>
      </c>
      <c r="C23" s="507">
        <f>'3b-RM Report Data'!Q96</f>
        <v>10705</v>
      </c>
      <c r="D23" s="507">
        <f>'3b-RM Report Data'!X96</f>
        <v>10571</v>
      </c>
      <c r="E23" s="507">
        <f>'3b-RM Report Data'!AE96</f>
        <v>12923</v>
      </c>
      <c r="F23" s="507">
        <f>'3b-RM Report Data'!AL96</f>
        <v>9918</v>
      </c>
      <c r="G23" s="507">
        <f>'3b-RM Report Data'!AS96</f>
        <v>8973</v>
      </c>
      <c r="H23" s="507">
        <f>'3b-RM Report Data'!AZ96</f>
        <v>0</v>
      </c>
      <c r="I23" s="507">
        <f>'3b-RM Report Data'!BG96</f>
        <v>0</v>
      </c>
      <c r="J23" s="507">
        <f>'3b-RM Report Data'!BN96</f>
        <v>0</v>
      </c>
      <c r="K23" s="507">
        <f>'3b-RM Report Data'!BU96</f>
        <v>0</v>
      </c>
      <c r="L23" s="507">
        <f>'3b-RM Report Data'!CB96</f>
        <v>0</v>
      </c>
      <c r="M23" s="507">
        <f>'3b-RM Report Data'!CI96</f>
        <v>0</v>
      </c>
      <c r="N23" s="68">
        <f t="shared" ref="N23:N29" si="7">SUM(B23:M23)</f>
        <v>65103</v>
      </c>
      <c r="W23" s="688"/>
      <c r="X23" s="23"/>
      <c r="Y23" s="23"/>
      <c r="Z23" s="6"/>
      <c r="AA23" s="6"/>
    </row>
    <row r="24" spans="1:27" s="689" customFormat="1">
      <c r="A24" s="208" t="s">
        <v>88</v>
      </c>
      <c r="B24" s="507">
        <f>'3b-RM Report Data'!J97</f>
        <v>604</v>
      </c>
      <c r="C24" s="507">
        <f>'3b-RM Report Data'!Q97</f>
        <v>150</v>
      </c>
      <c r="D24" s="507">
        <f>'3b-RM Report Data'!X97</f>
        <v>693</v>
      </c>
      <c r="E24" s="507">
        <f>'3b-RM Report Data'!AE97</f>
        <v>714</v>
      </c>
      <c r="F24" s="507">
        <f>'3b-RM Report Data'!AL97</f>
        <v>146</v>
      </c>
      <c r="G24" s="507">
        <f>'3b-RM Report Data'!AS97</f>
        <v>181</v>
      </c>
      <c r="H24" s="507">
        <f>'3b-RM Report Data'!AZ97</f>
        <v>0</v>
      </c>
      <c r="I24" s="507">
        <f>'3b-RM Report Data'!BG97</f>
        <v>0</v>
      </c>
      <c r="J24" s="507">
        <f>'3b-RM Report Data'!BN97</f>
        <v>0</v>
      </c>
      <c r="K24" s="507">
        <f>'3b-RM Report Data'!BU97</f>
        <v>0</v>
      </c>
      <c r="L24" s="507">
        <f>'3b-RM Report Data'!CB97</f>
        <v>0</v>
      </c>
      <c r="M24" s="507">
        <f>'3b-RM Report Data'!CI97</f>
        <v>0</v>
      </c>
      <c r="N24" s="68">
        <f t="shared" si="7"/>
        <v>2488</v>
      </c>
      <c r="W24" s="688"/>
      <c r="X24" s="23"/>
      <c r="Y24" s="23"/>
      <c r="Z24" s="6"/>
      <c r="AA24" s="6"/>
    </row>
    <row r="25" spans="1:27" s="689" customFormat="1">
      <c r="A25" s="208" t="s">
        <v>332</v>
      </c>
      <c r="B25" s="507">
        <f>'3b-RM Report Data'!J98</f>
        <v>183</v>
      </c>
      <c r="C25" s="507">
        <f>'3b-RM Report Data'!Q98</f>
        <v>2068</v>
      </c>
      <c r="D25" s="507">
        <f>'3b-RM Report Data'!X98</f>
        <v>170</v>
      </c>
      <c r="E25" s="507">
        <f>'3b-RM Report Data'!AE98</f>
        <v>175</v>
      </c>
      <c r="F25" s="507">
        <f>'3b-RM Report Data'!AL98</f>
        <v>2023</v>
      </c>
      <c r="G25" s="507">
        <f>'3b-RM Report Data'!AS98</f>
        <v>2511</v>
      </c>
      <c r="H25" s="507">
        <f>'3b-RM Report Data'!AZ98</f>
        <v>0</v>
      </c>
      <c r="I25" s="507">
        <f>'3b-RM Report Data'!BG98</f>
        <v>0</v>
      </c>
      <c r="J25" s="507">
        <f>'3b-RM Report Data'!BN98</f>
        <v>0</v>
      </c>
      <c r="K25" s="507">
        <f>'3b-RM Report Data'!BU98</f>
        <v>0</v>
      </c>
      <c r="L25" s="507">
        <f>'3b-RM Report Data'!CB98</f>
        <v>0</v>
      </c>
      <c r="M25" s="507">
        <f>'3b-RM Report Data'!CI98</f>
        <v>0</v>
      </c>
      <c r="N25" s="68">
        <f t="shared" si="7"/>
        <v>7130</v>
      </c>
      <c r="W25" s="688"/>
      <c r="X25" s="23"/>
      <c r="Y25" s="23"/>
      <c r="Z25" s="6"/>
      <c r="AA25" s="6"/>
    </row>
    <row r="26" spans="1:27" s="686" customFormat="1">
      <c r="A26" s="70" t="s">
        <v>92</v>
      </c>
      <c r="B26" s="69">
        <f>SUM(B23:B25)</f>
        <v>12800</v>
      </c>
      <c r="C26" s="69">
        <f t="shared" ref="C26:M26" si="8">SUM(C23:C25)</f>
        <v>12923</v>
      </c>
      <c r="D26" s="69">
        <f t="shared" si="8"/>
        <v>11434</v>
      </c>
      <c r="E26" s="69">
        <f t="shared" si="8"/>
        <v>13812</v>
      </c>
      <c r="F26" s="69">
        <f t="shared" si="8"/>
        <v>12087</v>
      </c>
      <c r="G26" s="69">
        <f t="shared" si="8"/>
        <v>11665</v>
      </c>
      <c r="H26" s="69">
        <f t="shared" si="8"/>
        <v>0</v>
      </c>
      <c r="I26" s="69">
        <f t="shared" si="8"/>
        <v>0</v>
      </c>
      <c r="J26" s="69">
        <f t="shared" si="8"/>
        <v>0</v>
      </c>
      <c r="K26" s="69">
        <f t="shared" si="8"/>
        <v>0</v>
      </c>
      <c r="L26" s="69">
        <f t="shared" si="8"/>
        <v>0</v>
      </c>
      <c r="M26" s="69">
        <f t="shared" si="8"/>
        <v>0</v>
      </c>
      <c r="N26" s="68">
        <f t="shared" si="7"/>
        <v>74721</v>
      </c>
      <c r="W26" s="687"/>
      <c r="X26" s="10"/>
      <c r="Y26" s="10"/>
      <c r="Z26" s="3"/>
      <c r="AA26" s="3"/>
    </row>
    <row r="27" spans="1:27" s="689" customFormat="1">
      <c r="A27" s="208" t="s">
        <v>38</v>
      </c>
      <c r="B27" s="507">
        <f>'3b-RM Report Data'!J70</f>
        <v>1850</v>
      </c>
      <c r="C27" s="507">
        <f>'3b-RM Report Data'!Q70</f>
        <v>1993</v>
      </c>
      <c r="D27" s="507">
        <f>'3b-RM Report Data'!X70</f>
        <v>1723</v>
      </c>
      <c r="E27" s="507">
        <f>'3b-RM Report Data'!AE70</f>
        <v>2058</v>
      </c>
      <c r="F27" s="507">
        <f>'3b-RM Report Data'!AL70</f>
        <v>2124</v>
      </c>
      <c r="G27" s="507">
        <f>'3b-RM Report Data'!AS70</f>
        <v>2012</v>
      </c>
      <c r="H27" s="507">
        <f>'3b-RM Report Data'!AZ70</f>
        <v>0</v>
      </c>
      <c r="I27" s="507">
        <f>'3b-RM Report Data'!BG70</f>
        <v>0</v>
      </c>
      <c r="J27" s="507">
        <f>'3b-RM Report Data'!BN70</f>
        <v>0</v>
      </c>
      <c r="K27" s="507">
        <f>'3b-RM Report Data'!BU70</f>
        <v>0</v>
      </c>
      <c r="L27" s="507">
        <f>'3b-RM Report Data'!CB70</f>
        <v>0</v>
      </c>
      <c r="M27" s="507">
        <f>'3b-RM Report Data'!CI70</f>
        <v>0</v>
      </c>
      <c r="N27" s="68">
        <f t="shared" si="7"/>
        <v>11760</v>
      </c>
      <c r="W27" s="688"/>
      <c r="X27" s="23"/>
      <c r="Y27" s="23"/>
      <c r="Z27" s="6"/>
      <c r="AA27" s="6"/>
    </row>
    <row r="28" spans="1:27" s="689" customFormat="1">
      <c r="A28" s="208" t="s">
        <v>39</v>
      </c>
      <c r="B28" s="507">
        <f>'3b-RM Report Data'!J71</f>
        <v>0</v>
      </c>
      <c r="C28" s="507">
        <f>'3b-RM Report Data'!Q71</f>
        <v>0</v>
      </c>
      <c r="D28" s="507">
        <f>'3b-RM Report Data'!X71</f>
        <v>0</v>
      </c>
      <c r="E28" s="507">
        <f>'3b-RM Report Data'!AE71</f>
        <v>0</v>
      </c>
      <c r="F28" s="507">
        <f>'3b-RM Report Data'!AL71</f>
        <v>0</v>
      </c>
      <c r="G28" s="507">
        <f>'3b-RM Report Data'!AS71</f>
        <v>0</v>
      </c>
      <c r="H28" s="507">
        <f>'3b-RM Report Data'!AZ71</f>
        <v>0</v>
      </c>
      <c r="I28" s="507">
        <f>'3b-RM Report Data'!BG71</f>
        <v>0</v>
      </c>
      <c r="J28" s="507">
        <f>'3b-RM Report Data'!BN71</f>
        <v>0</v>
      </c>
      <c r="K28" s="507">
        <f>'3b-RM Report Data'!BU71</f>
        <v>0</v>
      </c>
      <c r="L28" s="507">
        <f>'3b-RM Report Data'!CB71</f>
        <v>0</v>
      </c>
      <c r="M28" s="507">
        <f>'3b-RM Report Data'!CI71</f>
        <v>0</v>
      </c>
      <c r="N28" s="68">
        <f t="shared" si="7"/>
        <v>0</v>
      </c>
      <c r="W28" s="688"/>
      <c r="X28" s="23"/>
      <c r="Y28" s="23"/>
      <c r="Z28" s="6"/>
      <c r="AA28" s="6"/>
    </row>
    <row r="29" spans="1:27" s="689" customFormat="1">
      <c r="A29" s="208" t="s">
        <v>93</v>
      </c>
      <c r="B29" s="507">
        <f>'3b-RM Report Data'!J72</f>
        <v>1402</v>
      </c>
      <c r="C29" s="507">
        <f>'3b-RM Report Data'!Q72</f>
        <v>1574</v>
      </c>
      <c r="D29" s="507">
        <f>'3b-RM Report Data'!X72</f>
        <v>1403</v>
      </c>
      <c r="E29" s="507">
        <f>'3b-RM Report Data'!AE72</f>
        <v>1594</v>
      </c>
      <c r="F29" s="507">
        <f>'3b-RM Report Data'!AL72</f>
        <v>1262</v>
      </c>
      <c r="G29" s="507">
        <f>'3b-RM Report Data'!AS72</f>
        <v>1392</v>
      </c>
      <c r="H29" s="507">
        <f>'3b-RM Report Data'!AZ72</f>
        <v>0</v>
      </c>
      <c r="I29" s="507">
        <f>'3b-RM Report Data'!BG72</f>
        <v>0</v>
      </c>
      <c r="J29" s="507">
        <f>'3b-RM Report Data'!BN72</f>
        <v>0</v>
      </c>
      <c r="K29" s="507">
        <f>'3b-RM Report Data'!BU72</f>
        <v>0</v>
      </c>
      <c r="L29" s="507">
        <f>'3b-RM Report Data'!CB72</f>
        <v>0</v>
      </c>
      <c r="M29" s="507">
        <f>'3b-RM Report Data'!CI72</f>
        <v>0</v>
      </c>
      <c r="N29" s="84">
        <f t="shared" si="7"/>
        <v>8627</v>
      </c>
      <c r="W29" s="696"/>
      <c r="X29" s="50"/>
      <c r="Y29" s="50"/>
    </row>
    <row r="30" spans="1:27" ht="5.25" customHeight="1">
      <c r="A30" s="64"/>
      <c r="B30" s="65"/>
      <c r="C30" s="65">
        <v>222.81</v>
      </c>
      <c r="D30" s="65"/>
      <c r="E30" s="65"/>
      <c r="F30" s="65"/>
      <c r="G30" s="65"/>
      <c r="H30" s="65"/>
      <c r="I30" s="65"/>
      <c r="J30" s="65"/>
      <c r="K30" s="65"/>
      <c r="L30" s="65"/>
      <c r="M30" s="65"/>
      <c r="N30" s="66"/>
      <c r="P30" s="82"/>
      <c r="Q30" s="82"/>
      <c r="R30" s="82"/>
      <c r="S30" s="82"/>
      <c r="T30" s="82"/>
      <c r="U30" s="82"/>
      <c r="V30" s="82"/>
      <c r="W30" s="687"/>
      <c r="X30" s="5"/>
      <c r="Y30" s="5"/>
      <c r="Z30" s="4"/>
      <c r="AA30" s="4"/>
    </row>
    <row r="31" spans="1:27" s="689" customFormat="1">
      <c r="A31" s="209" t="s">
        <v>294</v>
      </c>
      <c r="B31" s="210">
        <f>'OpStatsTotals(MBTrailblazers)'!C151+'OpStatsTotals(DR)'!C105</f>
        <v>7802</v>
      </c>
      <c r="C31" s="210">
        <f>'OpStatsTotals(MBTrailblazers)'!D151+'OpStatsTotals(DR)'!D105</f>
        <v>7820</v>
      </c>
      <c r="D31" s="210">
        <f>'OpStatsTotals(MBTrailblazers)'!E151+'OpStatsTotals(DR)'!E105</f>
        <v>7164</v>
      </c>
      <c r="E31" s="210">
        <f>'OpStatsTotals(MBTrailblazers)'!F151+'OpStatsTotals(DR)'!F105</f>
        <v>7975</v>
      </c>
      <c r="F31" s="210">
        <f>'OpStatsTotals(MBTrailblazers)'!G151+'OpStatsTotals(DR)'!G105</f>
        <v>6750</v>
      </c>
      <c r="G31" s="210">
        <f>'OpStatsTotals(MBTrailblazers)'!H151+'OpStatsTotals(DR)'!H105</f>
        <v>6630</v>
      </c>
      <c r="H31" s="210">
        <f>'OpStatsTotals(MBTrailblazers)'!I151+'OpStatsTotals(DR)'!I105</f>
        <v>0</v>
      </c>
      <c r="I31" s="210">
        <f>'OpStatsTotals(MBTrailblazers)'!J151+'OpStatsTotals(DR)'!J105</f>
        <v>0</v>
      </c>
      <c r="J31" s="210">
        <f>'OpStatsTotals(MBTrailblazers)'!K151+'OpStatsTotals(DR)'!K105</f>
        <v>0</v>
      </c>
      <c r="K31" s="210">
        <f>'OpStatsTotals(MBTrailblazers)'!L151+'OpStatsTotals(DR)'!L105</f>
        <v>0</v>
      </c>
      <c r="L31" s="210">
        <f>'OpStatsTotals(MBTrailblazers)'!M151+'OpStatsTotals(DR)'!M105</f>
        <v>0</v>
      </c>
      <c r="M31" s="210">
        <f>'OpStatsTotals(MBTrailblazers)'!N151+'OpStatsTotals(DR)'!N105</f>
        <v>0</v>
      </c>
      <c r="N31" s="67">
        <f>SUM(B31:M31)</f>
        <v>44141</v>
      </c>
      <c r="W31" s="696"/>
      <c r="X31" s="50"/>
      <c r="Y31" s="50"/>
      <c r="Z31" s="6"/>
      <c r="AA31" s="6"/>
    </row>
    <row r="32" spans="1:27" s="689" customFormat="1">
      <c r="A32" s="209" t="s">
        <v>295</v>
      </c>
      <c r="B32" s="210">
        <f t="shared" ref="B32:M32" si="9">B8</f>
        <v>445</v>
      </c>
      <c r="C32" s="210">
        <f t="shared" si="9"/>
        <v>850</v>
      </c>
      <c r="D32" s="210">
        <f t="shared" si="9"/>
        <v>564</v>
      </c>
      <c r="E32" s="210">
        <f t="shared" si="9"/>
        <v>1008</v>
      </c>
      <c r="F32" s="210">
        <f t="shared" si="9"/>
        <v>780</v>
      </c>
      <c r="G32" s="210">
        <f t="shared" si="9"/>
        <v>579</v>
      </c>
      <c r="H32" s="210">
        <f t="shared" si="9"/>
        <v>0</v>
      </c>
      <c r="I32" s="210">
        <f t="shared" si="9"/>
        <v>0</v>
      </c>
      <c r="J32" s="210">
        <f t="shared" si="9"/>
        <v>0</v>
      </c>
      <c r="K32" s="210">
        <f t="shared" si="9"/>
        <v>0</v>
      </c>
      <c r="L32" s="210">
        <f t="shared" si="9"/>
        <v>0</v>
      </c>
      <c r="M32" s="210">
        <f t="shared" si="9"/>
        <v>0</v>
      </c>
      <c r="N32" s="67">
        <f>SUM(B32:M32)</f>
        <v>4226</v>
      </c>
      <c r="W32" s="696"/>
      <c r="X32" s="50"/>
      <c r="Y32" s="50"/>
      <c r="Z32" s="6"/>
      <c r="AA32" s="6"/>
    </row>
    <row r="33" spans="1:27" s="689" customFormat="1">
      <c r="A33" s="209" t="s">
        <v>296</v>
      </c>
      <c r="B33" s="210">
        <f>'OpStatsTotals(DR)'!C107</f>
        <v>5474</v>
      </c>
      <c r="C33" s="210">
        <f>'OpStatsTotals(DR)'!D107</f>
        <v>5632</v>
      </c>
      <c r="D33" s="210">
        <f>'OpStatsTotals(DR)'!E107</f>
        <v>5372</v>
      </c>
      <c r="E33" s="210">
        <f>'OpStatsTotals(DR)'!F107</f>
        <v>5948</v>
      </c>
      <c r="F33" s="210">
        <f>'OpStatsTotals(DR)'!G107</f>
        <v>4744</v>
      </c>
      <c r="G33" s="210">
        <f>'OpStatsTotals(DR)'!H107</f>
        <v>4961.2060000000001</v>
      </c>
      <c r="H33" s="210">
        <f>'OpStatsTotals(DR)'!I107</f>
        <v>0</v>
      </c>
      <c r="I33" s="210">
        <f>'OpStatsTotals(DR)'!J107</f>
        <v>0</v>
      </c>
      <c r="J33" s="210">
        <f>'OpStatsTotals(DR)'!K107</f>
        <v>0</v>
      </c>
      <c r="K33" s="210">
        <f>'OpStatsTotals(DR)'!L107</f>
        <v>0</v>
      </c>
      <c r="L33" s="210">
        <f>'OpStatsTotals(DR)'!M107</f>
        <v>0</v>
      </c>
      <c r="M33" s="210">
        <f>'OpStatsTotals(DR)'!N107</f>
        <v>0</v>
      </c>
      <c r="N33" s="67">
        <f>SUM(B33:M33)</f>
        <v>32131.205999999998</v>
      </c>
      <c r="W33" s="696"/>
      <c r="X33" s="50"/>
      <c r="Y33" s="50"/>
      <c r="Z33" s="6"/>
      <c r="AA33" s="6"/>
    </row>
    <row r="34" spans="1:27" s="689" customFormat="1">
      <c r="A34" s="213" t="s">
        <v>269</v>
      </c>
      <c r="B34" s="215">
        <f>SUM(B31:B33)</f>
        <v>13721</v>
      </c>
      <c r="C34" s="215">
        <f t="shared" ref="C34:N34" si="10">SUM(C31:C33)</f>
        <v>14302</v>
      </c>
      <c r="D34" s="215">
        <f t="shared" si="10"/>
        <v>13100</v>
      </c>
      <c r="E34" s="215">
        <f t="shared" si="10"/>
        <v>14931</v>
      </c>
      <c r="F34" s="215">
        <f t="shared" si="10"/>
        <v>12274</v>
      </c>
      <c r="G34" s="215">
        <f t="shared" si="10"/>
        <v>12170.206</v>
      </c>
      <c r="H34" s="215">
        <f t="shared" si="10"/>
        <v>0</v>
      </c>
      <c r="I34" s="215">
        <f t="shared" si="10"/>
        <v>0</v>
      </c>
      <c r="J34" s="215">
        <f t="shared" si="10"/>
        <v>0</v>
      </c>
      <c r="K34" s="215">
        <f t="shared" si="10"/>
        <v>0</v>
      </c>
      <c r="L34" s="215">
        <f t="shared" si="10"/>
        <v>0</v>
      </c>
      <c r="M34" s="215">
        <f t="shared" si="10"/>
        <v>0</v>
      </c>
      <c r="N34" s="215">
        <f t="shared" si="10"/>
        <v>80498.206000000006</v>
      </c>
      <c r="W34" s="696"/>
      <c r="X34" s="50"/>
      <c r="Y34" s="50"/>
      <c r="Z34" s="6"/>
      <c r="AA34" s="6"/>
    </row>
    <row r="35" spans="1:27" ht="5.25" customHeight="1">
      <c r="A35" s="64"/>
      <c r="B35" s="65"/>
      <c r="C35" s="65">
        <v>222.81</v>
      </c>
      <c r="D35" s="65"/>
      <c r="E35" s="65"/>
      <c r="F35" s="65"/>
      <c r="G35" s="65"/>
      <c r="H35" s="65"/>
      <c r="I35" s="65"/>
      <c r="J35" s="65"/>
      <c r="K35" s="65"/>
      <c r="L35" s="65"/>
      <c r="M35" s="65"/>
      <c r="N35" s="66"/>
      <c r="P35" s="82"/>
      <c r="Q35" s="82"/>
      <c r="R35" s="82"/>
      <c r="S35" s="82"/>
      <c r="T35" s="82"/>
      <c r="U35" s="82"/>
      <c r="V35" s="82"/>
      <c r="W35" s="687"/>
      <c r="X35" s="5"/>
      <c r="Y35" s="5"/>
      <c r="Z35" s="4"/>
      <c r="AA35" s="4"/>
    </row>
    <row r="36" spans="1:27" s="698" customFormat="1">
      <c r="A36" s="209" t="s">
        <v>289</v>
      </c>
      <c r="B36" s="210">
        <f>'OpStatsTotals(MBTrailblazers)'!C131</f>
        <v>759.25</v>
      </c>
      <c r="C36" s="210">
        <f>'OpStatsTotals(MBTrailblazers)'!D131</f>
        <v>773.16</v>
      </c>
      <c r="D36" s="210">
        <f>'OpStatsTotals(MBTrailblazers)'!E131</f>
        <v>695.79</v>
      </c>
      <c r="E36" s="210">
        <f>'OpStatsTotals(MBTrailblazers)'!F131</f>
        <v>792.62</v>
      </c>
      <c r="F36" s="210">
        <f>'OpStatsTotals(MBTrailblazers)'!G131</f>
        <v>708.28</v>
      </c>
      <c r="G36" s="210">
        <f>'OpStatsTotals(MBTrailblazers)'!H131</f>
        <v>732.6</v>
      </c>
      <c r="H36" s="210">
        <f>'OpStatsTotals(MBTrailblazers)'!I131</f>
        <v>0</v>
      </c>
      <c r="I36" s="210">
        <f>'OpStatsTotals(MBTrailblazers)'!J131</f>
        <v>0</v>
      </c>
      <c r="J36" s="210">
        <f>'OpStatsTotals(MBTrailblazers)'!K131</f>
        <v>0</v>
      </c>
      <c r="K36" s="210">
        <f>'OpStatsTotals(MBTrailblazers)'!L131</f>
        <v>0</v>
      </c>
      <c r="L36" s="210">
        <f>'OpStatsTotals(MBTrailblazers)'!M131</f>
        <v>0</v>
      </c>
      <c r="M36" s="210">
        <f>'OpStatsTotals(MBTrailblazers)'!N131</f>
        <v>0</v>
      </c>
      <c r="N36" s="67">
        <f>SUM(B36:M36)</f>
        <v>4461.7</v>
      </c>
      <c r="W36" s="697"/>
      <c r="X36" s="10"/>
      <c r="Y36" s="10"/>
      <c r="Z36" s="32"/>
      <c r="AA36" s="32"/>
    </row>
    <row r="37" spans="1:27" s="698" customFormat="1">
      <c r="A37" s="209" t="s">
        <v>290</v>
      </c>
      <c r="B37" s="210">
        <f>'OpStatsTotals(DR)'!C90</f>
        <v>6535.57</v>
      </c>
      <c r="C37" s="210">
        <f>'OpStatsTotals(DR)'!D90</f>
        <v>6566.92</v>
      </c>
      <c r="D37" s="210">
        <f>'OpStatsTotals(DR)'!E90</f>
        <v>5913.66</v>
      </c>
      <c r="E37" s="210">
        <f>'OpStatsTotals(DR)'!F90</f>
        <v>6607.9800000000005</v>
      </c>
      <c r="F37" s="210">
        <f>'OpStatsTotals(DR)'!G90</f>
        <v>5589.3</v>
      </c>
      <c r="G37" s="210">
        <f>'OpStatsTotals(DR)'!H90</f>
        <v>5564.4299999999994</v>
      </c>
      <c r="H37" s="210">
        <f>'OpStatsTotals(DR)'!I90</f>
        <v>0</v>
      </c>
      <c r="I37" s="210">
        <f>'OpStatsTotals(DR)'!J90</f>
        <v>0</v>
      </c>
      <c r="J37" s="210">
        <f>'OpStatsTotals(DR)'!K90</f>
        <v>0</v>
      </c>
      <c r="K37" s="210">
        <f>'OpStatsTotals(DR)'!L90</f>
        <v>0</v>
      </c>
      <c r="L37" s="210">
        <f>'OpStatsTotals(DR)'!M90</f>
        <v>0</v>
      </c>
      <c r="M37" s="210">
        <f>'OpStatsTotals(DR)'!N90</f>
        <v>0</v>
      </c>
      <c r="N37" s="67">
        <f>SUM(B37:M37)</f>
        <v>36777.86</v>
      </c>
      <c r="W37" s="697"/>
      <c r="X37" s="10"/>
      <c r="Y37" s="10"/>
      <c r="Z37" s="32"/>
      <c r="AA37" s="32"/>
    </row>
    <row r="38" spans="1:27" s="9" customFormat="1">
      <c r="A38" s="49" t="s">
        <v>45</v>
      </c>
      <c r="B38" s="211">
        <f>SUM(B36:B37)</f>
        <v>7294.82</v>
      </c>
      <c r="C38" s="211">
        <f t="shared" ref="C38:M38" si="11">SUM(C36:C37)</f>
        <v>7340.08</v>
      </c>
      <c r="D38" s="211">
        <f t="shared" si="11"/>
        <v>6609.45</v>
      </c>
      <c r="E38" s="211">
        <f t="shared" si="11"/>
        <v>7400.6</v>
      </c>
      <c r="F38" s="211">
        <f t="shared" si="11"/>
        <v>6297.58</v>
      </c>
      <c r="G38" s="211">
        <f t="shared" si="11"/>
        <v>6297.03</v>
      </c>
      <c r="H38" s="211">
        <f t="shared" si="11"/>
        <v>0</v>
      </c>
      <c r="I38" s="211">
        <f t="shared" si="11"/>
        <v>0</v>
      </c>
      <c r="J38" s="211">
        <f t="shared" si="11"/>
        <v>0</v>
      </c>
      <c r="K38" s="211">
        <f t="shared" si="11"/>
        <v>0</v>
      </c>
      <c r="L38" s="211">
        <f t="shared" si="11"/>
        <v>0</v>
      </c>
      <c r="M38" s="211">
        <f t="shared" si="11"/>
        <v>0</v>
      </c>
      <c r="N38" s="84">
        <f>SUM(B38:M38)</f>
        <v>41239.56</v>
      </c>
      <c r="W38" s="699"/>
      <c r="X38" s="31"/>
      <c r="Y38" s="31"/>
      <c r="Z38" s="136"/>
      <c r="AA38" s="136"/>
    </row>
    <row r="39" spans="1:27" s="698" customFormat="1">
      <c r="A39" s="209" t="s">
        <v>291</v>
      </c>
      <c r="B39" s="210">
        <f>'OpStatsTotals(MBTrailblazers)'!C139</f>
        <v>663</v>
      </c>
      <c r="C39" s="210">
        <f>'OpStatsTotals(MBTrailblazers)'!D139</f>
        <v>673</v>
      </c>
      <c r="D39" s="210">
        <f>'OpStatsTotals(MBTrailblazers)'!E139</f>
        <v>606</v>
      </c>
      <c r="E39" s="210">
        <f>'OpStatsTotals(MBTrailblazers)'!F139</f>
        <v>690</v>
      </c>
      <c r="F39" s="210">
        <f>'OpStatsTotals(MBTrailblazers)'!G139</f>
        <v>614</v>
      </c>
      <c r="G39" s="210">
        <f>'OpStatsTotals(MBTrailblazers)'!H139</f>
        <v>632</v>
      </c>
      <c r="H39" s="210">
        <f>'OpStatsTotals(MBTrailblazers)'!I139</f>
        <v>0</v>
      </c>
      <c r="I39" s="210">
        <f>'OpStatsTotals(MBTrailblazers)'!J139</f>
        <v>0</v>
      </c>
      <c r="J39" s="210">
        <f>'OpStatsTotals(MBTrailblazers)'!K139</f>
        <v>0</v>
      </c>
      <c r="K39" s="210">
        <f>'OpStatsTotals(MBTrailblazers)'!L139</f>
        <v>0</v>
      </c>
      <c r="L39" s="210">
        <f>'OpStatsTotals(MBTrailblazers)'!M139</f>
        <v>0</v>
      </c>
      <c r="M39" s="210">
        <f>'OpStatsTotals(MBTrailblazers)'!N139</f>
        <v>0</v>
      </c>
      <c r="N39" s="67">
        <f>SUM(B39:M39)</f>
        <v>3878</v>
      </c>
      <c r="W39" s="697"/>
      <c r="X39" s="10"/>
      <c r="Y39" s="10"/>
      <c r="Z39" s="32"/>
      <c r="AA39" s="32"/>
    </row>
    <row r="40" spans="1:27" s="698" customFormat="1">
      <c r="A40" s="209" t="s">
        <v>292</v>
      </c>
      <c r="B40" s="210">
        <f>'OpStatsTotals(DR)'!C96</f>
        <v>4846.3999999999996</v>
      </c>
      <c r="C40" s="210">
        <f>'OpStatsTotals(DR)'!D96</f>
        <v>5019.1499999999996</v>
      </c>
      <c r="D40" s="210">
        <f>'OpStatsTotals(DR)'!E96</f>
        <v>4593.12</v>
      </c>
      <c r="E40" s="210">
        <f>'OpStatsTotals(DR)'!F96</f>
        <v>5197.18</v>
      </c>
      <c r="F40" s="210">
        <f>'OpStatsTotals(DR)'!G96</f>
        <v>4195.2</v>
      </c>
      <c r="G40" s="210">
        <f>'OpStatsTotals(DR)'!H96</f>
        <v>4208.67</v>
      </c>
      <c r="H40" s="210">
        <f>'OpStatsTotals(DR)'!I96</f>
        <v>0</v>
      </c>
      <c r="I40" s="210">
        <f>'OpStatsTotals(DR)'!J96</f>
        <v>0</v>
      </c>
      <c r="J40" s="210">
        <f>'OpStatsTotals(DR)'!K96</f>
        <v>0</v>
      </c>
      <c r="K40" s="210">
        <f>'OpStatsTotals(DR)'!L96</f>
        <v>0</v>
      </c>
      <c r="L40" s="210">
        <f>'OpStatsTotals(DR)'!M96</f>
        <v>0</v>
      </c>
      <c r="M40" s="210">
        <f>'OpStatsTotals(DR)'!N96</f>
        <v>0</v>
      </c>
      <c r="N40" s="67">
        <f>SUM(B40:M40)</f>
        <v>28059.72</v>
      </c>
      <c r="W40" s="697"/>
      <c r="X40" s="10"/>
      <c r="Y40" s="10"/>
      <c r="Z40" s="32"/>
      <c r="AA40" s="32"/>
    </row>
    <row r="41" spans="1:27" s="9" customFormat="1">
      <c r="A41" s="49" t="s">
        <v>109</v>
      </c>
      <c r="B41" s="211">
        <f>B39+B40</f>
        <v>5509.4</v>
      </c>
      <c r="C41" s="211">
        <f t="shared" ref="C41:M41" si="12">C39+C40</f>
        <v>5692.15</v>
      </c>
      <c r="D41" s="211">
        <f t="shared" si="12"/>
        <v>5199.12</v>
      </c>
      <c r="E41" s="211">
        <f t="shared" si="12"/>
        <v>5887.18</v>
      </c>
      <c r="F41" s="211">
        <f t="shared" si="12"/>
        <v>4809.2</v>
      </c>
      <c r="G41" s="211">
        <f t="shared" si="12"/>
        <v>4840.67</v>
      </c>
      <c r="H41" s="211">
        <f t="shared" si="12"/>
        <v>0</v>
      </c>
      <c r="I41" s="211">
        <f t="shared" si="12"/>
        <v>0</v>
      </c>
      <c r="J41" s="211">
        <f t="shared" si="12"/>
        <v>0</v>
      </c>
      <c r="K41" s="211">
        <f t="shared" si="12"/>
        <v>0</v>
      </c>
      <c r="L41" s="211">
        <f t="shared" si="12"/>
        <v>0</v>
      </c>
      <c r="M41" s="211">
        <f t="shared" si="12"/>
        <v>0</v>
      </c>
      <c r="N41" s="84">
        <f>N39+N40</f>
        <v>31937.72</v>
      </c>
      <c r="W41" s="699"/>
      <c r="X41" s="30"/>
      <c r="Y41" s="30"/>
      <c r="Z41" s="2"/>
      <c r="AA41" s="2"/>
    </row>
    <row r="42" spans="1:27" ht="5.25" customHeight="1">
      <c r="A42" s="64"/>
      <c r="B42" s="65"/>
      <c r="C42" s="65"/>
      <c r="D42" s="65"/>
      <c r="E42" s="65"/>
      <c r="F42" s="65"/>
      <c r="G42" s="65"/>
      <c r="H42" s="65"/>
      <c r="I42" s="65"/>
      <c r="J42" s="65"/>
      <c r="K42" s="65"/>
      <c r="L42" s="65"/>
      <c r="M42" s="65"/>
      <c r="N42" s="66"/>
      <c r="P42" s="82"/>
      <c r="Q42" s="82"/>
      <c r="R42" s="82"/>
      <c r="S42" s="82"/>
      <c r="T42" s="82"/>
      <c r="U42" s="82"/>
      <c r="V42" s="82"/>
      <c r="W42" s="687"/>
      <c r="X42" s="5"/>
      <c r="Y42" s="5"/>
      <c r="Z42" s="4"/>
      <c r="AA42" s="4"/>
    </row>
    <row r="43" spans="1:27" s="686" customFormat="1">
      <c r="A43" s="208" t="s">
        <v>285</v>
      </c>
      <c r="B43" s="69">
        <f>'OpStatsTotals(MBTrailblazers)'!C135</f>
        <v>14982</v>
      </c>
      <c r="C43" s="69">
        <f>'OpStatsTotals(MBTrailblazers)'!D135</f>
        <v>15252</v>
      </c>
      <c r="D43" s="69">
        <f>'OpStatsTotals(MBTrailblazers)'!E135</f>
        <v>13831</v>
      </c>
      <c r="E43" s="69">
        <f>'OpStatsTotals(MBTrailblazers)'!F135</f>
        <v>15536</v>
      </c>
      <c r="F43" s="69">
        <f>'OpStatsTotals(MBTrailblazers)'!G135</f>
        <v>13674</v>
      </c>
      <c r="G43" s="69">
        <f>'OpStatsTotals(MBTrailblazers)'!H135</f>
        <v>14102</v>
      </c>
      <c r="H43" s="69">
        <f>'OpStatsTotals(MBTrailblazers)'!I135</f>
        <v>0</v>
      </c>
      <c r="I43" s="69">
        <f>'OpStatsTotals(MBTrailblazers)'!J135</f>
        <v>0</v>
      </c>
      <c r="J43" s="69">
        <f>'OpStatsTotals(MBTrailblazers)'!K135</f>
        <v>0</v>
      </c>
      <c r="K43" s="69">
        <f>'OpStatsTotals(MBTrailblazers)'!L135</f>
        <v>0</v>
      </c>
      <c r="L43" s="69">
        <f>'OpStatsTotals(MBTrailblazers)'!M135</f>
        <v>0</v>
      </c>
      <c r="M43" s="69">
        <f>'OpStatsTotals(MBTrailblazers)'!N135</f>
        <v>0</v>
      </c>
      <c r="N43" s="67">
        <f t="shared" ref="N43:N49" si="13">SUM(B43:M43)</f>
        <v>87377</v>
      </c>
      <c r="W43" s="687"/>
      <c r="X43" s="10"/>
      <c r="Y43" s="10"/>
      <c r="Z43" s="3"/>
      <c r="AA43" s="3"/>
    </row>
    <row r="44" spans="1:27" s="686" customFormat="1">
      <c r="A44" s="208" t="s">
        <v>286</v>
      </c>
      <c r="B44" s="69">
        <f>'OpStatsTotals(DR)'!C93</f>
        <v>109250</v>
      </c>
      <c r="C44" s="69">
        <f>'OpStatsTotals(DR)'!D93</f>
        <v>112518</v>
      </c>
      <c r="D44" s="69">
        <f>'OpStatsTotals(DR)'!E93</f>
        <v>102507</v>
      </c>
      <c r="E44" s="69">
        <f>'OpStatsTotals(DR)'!F93</f>
        <v>115960</v>
      </c>
      <c r="F44" s="69">
        <f>'OpStatsTotals(DR)'!G93</f>
        <v>94794</v>
      </c>
      <c r="G44" s="69">
        <f>'OpStatsTotals(DR)'!H93</f>
        <v>94430</v>
      </c>
      <c r="H44" s="69">
        <f>'OpStatsTotals(DR)'!I93</f>
        <v>0</v>
      </c>
      <c r="I44" s="69">
        <f>'OpStatsTotals(DR)'!J93</f>
        <v>0</v>
      </c>
      <c r="J44" s="69">
        <f>'OpStatsTotals(DR)'!K93</f>
        <v>0</v>
      </c>
      <c r="K44" s="69">
        <f>'OpStatsTotals(DR)'!L93</f>
        <v>0</v>
      </c>
      <c r="L44" s="69">
        <f>'OpStatsTotals(DR)'!M93</f>
        <v>0</v>
      </c>
      <c r="M44" s="69">
        <f>'OpStatsTotals(DR)'!N93</f>
        <v>0</v>
      </c>
      <c r="N44" s="67">
        <f t="shared" si="13"/>
        <v>629459</v>
      </c>
      <c r="W44" s="687"/>
      <c r="X44" s="10"/>
      <c r="Y44" s="10"/>
      <c r="Z44" s="3"/>
      <c r="AA44" s="3"/>
    </row>
    <row r="45" spans="1:27" s="9" customFormat="1">
      <c r="A45" s="49" t="s">
        <v>46</v>
      </c>
      <c r="B45" s="68">
        <f>B43+B44</f>
        <v>124232</v>
      </c>
      <c r="C45" s="68">
        <f t="shared" ref="C45:M45" si="14">C43+C44</f>
        <v>127770</v>
      </c>
      <c r="D45" s="68">
        <f t="shared" si="14"/>
        <v>116338</v>
      </c>
      <c r="E45" s="68">
        <f t="shared" si="14"/>
        <v>131496</v>
      </c>
      <c r="F45" s="68">
        <f t="shared" si="14"/>
        <v>108468</v>
      </c>
      <c r="G45" s="68">
        <f t="shared" si="14"/>
        <v>108532</v>
      </c>
      <c r="H45" s="68">
        <f t="shared" si="14"/>
        <v>0</v>
      </c>
      <c r="I45" s="68">
        <f t="shared" si="14"/>
        <v>0</v>
      </c>
      <c r="J45" s="68">
        <f t="shared" si="14"/>
        <v>0</v>
      </c>
      <c r="K45" s="68">
        <f t="shared" si="14"/>
        <v>0</v>
      </c>
      <c r="L45" s="68">
        <f t="shared" si="14"/>
        <v>0</v>
      </c>
      <c r="M45" s="68">
        <f t="shared" si="14"/>
        <v>0</v>
      </c>
      <c r="N45" s="84">
        <f t="shared" si="13"/>
        <v>716836</v>
      </c>
      <c r="W45" s="687"/>
      <c r="X45" s="136"/>
      <c r="Y45" s="136"/>
      <c r="Z45" s="136"/>
      <c r="AA45" s="136"/>
    </row>
    <row r="46" spans="1:27" s="686" customFormat="1">
      <c r="A46" s="208" t="s">
        <v>287</v>
      </c>
      <c r="B46" s="67">
        <f>'OpStatsTotals(MBTrailblazers)'!C143</f>
        <v>11906</v>
      </c>
      <c r="C46" s="67">
        <f>'OpStatsTotals(MBTrailblazers)'!D143</f>
        <v>12257</v>
      </c>
      <c r="D46" s="67">
        <f>'OpStatsTotals(MBTrailblazers)'!E143</f>
        <v>11080</v>
      </c>
      <c r="E46" s="67">
        <f>'OpStatsTotals(MBTrailblazers)'!F143</f>
        <v>12638</v>
      </c>
      <c r="F46" s="67">
        <f>'OpStatsTotals(MBTrailblazers)'!G143</f>
        <v>11211</v>
      </c>
      <c r="G46" s="67">
        <f>'OpStatsTotals(MBTrailblazers)'!H143</f>
        <v>11468</v>
      </c>
      <c r="H46" s="67">
        <f>'OpStatsTotals(MBTrailblazers)'!I143</f>
        <v>0</v>
      </c>
      <c r="I46" s="67">
        <f>'OpStatsTotals(MBTrailblazers)'!J143</f>
        <v>0</v>
      </c>
      <c r="J46" s="67">
        <f>'OpStatsTotals(MBTrailblazers)'!K143</f>
        <v>0</v>
      </c>
      <c r="K46" s="67">
        <f>'OpStatsTotals(MBTrailblazers)'!L143</f>
        <v>0</v>
      </c>
      <c r="L46" s="67">
        <f>'OpStatsTotals(MBTrailblazers)'!M143</f>
        <v>0</v>
      </c>
      <c r="M46" s="67">
        <f>'OpStatsTotals(MBTrailblazers)'!N143</f>
        <v>0</v>
      </c>
      <c r="N46" s="67">
        <f t="shared" si="13"/>
        <v>70560</v>
      </c>
      <c r="W46" s="687"/>
      <c r="X46" s="10"/>
      <c r="Y46" s="10"/>
      <c r="Z46" s="3"/>
      <c r="AA46" s="3"/>
    </row>
    <row r="47" spans="1:27" s="686" customFormat="1">
      <c r="A47" s="208" t="s">
        <v>288</v>
      </c>
      <c r="B47" s="67">
        <f>'OpStatsTotals(DR)'!C99</f>
        <v>86068</v>
      </c>
      <c r="C47" s="67">
        <f>'OpStatsTotals(DR)'!D99</f>
        <v>89883</v>
      </c>
      <c r="D47" s="67">
        <f>'OpStatsTotals(DR)'!E99</f>
        <v>83170</v>
      </c>
      <c r="E47" s="67">
        <f>'OpStatsTotals(DR)'!F99</f>
        <v>94090</v>
      </c>
      <c r="F47" s="67">
        <f>'OpStatsTotals(DR)'!G99</f>
        <v>74756</v>
      </c>
      <c r="G47" s="67">
        <f>'OpStatsTotals(DR)'!H99</f>
        <v>75076</v>
      </c>
      <c r="H47" s="67">
        <f>'OpStatsTotals(DR)'!I99</f>
        <v>0</v>
      </c>
      <c r="I47" s="67">
        <f>'OpStatsTotals(DR)'!J99</f>
        <v>0</v>
      </c>
      <c r="J47" s="67">
        <f>'OpStatsTotals(DR)'!K99</f>
        <v>0</v>
      </c>
      <c r="K47" s="67">
        <f>'OpStatsTotals(DR)'!L99</f>
        <v>0</v>
      </c>
      <c r="L47" s="67">
        <f>'OpStatsTotals(DR)'!M99</f>
        <v>0</v>
      </c>
      <c r="M47" s="67">
        <f>'OpStatsTotals(DR)'!N99</f>
        <v>0</v>
      </c>
      <c r="N47" s="67">
        <f t="shared" si="13"/>
        <v>503043</v>
      </c>
      <c r="W47" s="687"/>
      <c r="X47" s="10"/>
      <c r="Y47" s="10"/>
      <c r="Z47" s="3"/>
      <c r="AA47" s="3"/>
    </row>
    <row r="48" spans="1:27" s="9" customFormat="1">
      <c r="A48" s="49" t="s">
        <v>47</v>
      </c>
      <c r="B48" s="68">
        <f>B46+B47</f>
        <v>97974</v>
      </c>
      <c r="C48" s="68">
        <f t="shared" ref="C48:M48" si="15">C46+C47</f>
        <v>102140</v>
      </c>
      <c r="D48" s="68">
        <f t="shared" si="15"/>
        <v>94250</v>
      </c>
      <c r="E48" s="68">
        <f t="shared" si="15"/>
        <v>106728</v>
      </c>
      <c r="F48" s="68">
        <f t="shared" si="15"/>
        <v>85967</v>
      </c>
      <c r="G48" s="68">
        <f t="shared" si="15"/>
        <v>86544</v>
      </c>
      <c r="H48" s="68">
        <f t="shared" si="15"/>
        <v>0</v>
      </c>
      <c r="I48" s="68">
        <f t="shared" si="15"/>
        <v>0</v>
      </c>
      <c r="J48" s="68">
        <f t="shared" si="15"/>
        <v>0</v>
      </c>
      <c r="K48" s="68">
        <f t="shared" si="15"/>
        <v>0</v>
      </c>
      <c r="L48" s="68">
        <f t="shared" si="15"/>
        <v>0</v>
      </c>
      <c r="M48" s="68">
        <f t="shared" si="15"/>
        <v>0</v>
      </c>
      <c r="N48" s="84">
        <f t="shared" si="13"/>
        <v>573603</v>
      </c>
      <c r="W48" s="687"/>
      <c r="X48" s="10"/>
      <c r="Y48" s="10"/>
      <c r="Z48" s="2"/>
      <c r="AA48" s="2"/>
    </row>
    <row r="49" spans="1:27" s="689" customFormat="1">
      <c r="A49" s="208" t="s">
        <v>147</v>
      </c>
      <c r="B49" s="507">
        <f>'3b-RM Report Data'!J100</f>
        <v>125533</v>
      </c>
      <c r="C49" s="507">
        <f>'3b-RM Report Data'!Q100</f>
        <v>130202</v>
      </c>
      <c r="D49" s="507">
        <f>'3b-RM Report Data'!X100</f>
        <v>117233</v>
      </c>
      <c r="E49" s="507">
        <f>'3b-RM Report Data'!AE100</f>
        <v>132500</v>
      </c>
      <c r="F49" s="507">
        <f>'3b-RM Report Data'!AL100</f>
        <v>109085</v>
      </c>
      <c r="G49" s="507">
        <f>'3b-RM Report Data'!AS100</f>
        <v>109450</v>
      </c>
      <c r="H49" s="507">
        <f>'3b-RM Report Data'!AZ100</f>
        <v>0</v>
      </c>
      <c r="I49" s="507">
        <f>'3b-RM Report Data'!BG100</f>
        <v>0</v>
      </c>
      <c r="J49" s="507">
        <f>'3b-RM Report Data'!BN100</f>
        <v>0</v>
      </c>
      <c r="K49" s="507">
        <f>'3b-RM Report Data'!BU100</f>
        <v>0</v>
      </c>
      <c r="L49" s="507">
        <f>'3b-RM Report Data'!CB100</f>
        <v>0</v>
      </c>
      <c r="M49" s="507">
        <f>'3b-RM Report Data'!CI100</f>
        <v>0</v>
      </c>
      <c r="N49" s="68">
        <f t="shared" si="13"/>
        <v>724003</v>
      </c>
      <c r="W49" s="688"/>
      <c r="X49" s="7"/>
      <c r="Y49" s="7"/>
      <c r="Z49" s="6"/>
      <c r="AA49" s="6"/>
    </row>
    <row r="50" spans="1:27" ht="5.25" customHeight="1">
      <c r="A50" s="64"/>
      <c r="B50" s="65"/>
      <c r="C50" s="65"/>
      <c r="D50" s="65"/>
      <c r="E50" s="65"/>
      <c r="F50" s="65"/>
      <c r="G50" s="65"/>
      <c r="H50" s="65"/>
      <c r="I50" s="65"/>
      <c r="J50" s="65"/>
      <c r="K50" s="65"/>
      <c r="L50" s="65"/>
      <c r="M50" s="65"/>
      <c r="N50" s="66"/>
      <c r="P50" s="82"/>
      <c r="Q50" s="82"/>
      <c r="R50" s="82"/>
      <c r="S50" s="82"/>
      <c r="T50" s="82"/>
      <c r="U50" s="82"/>
      <c r="V50" s="82"/>
      <c r="W50" s="687"/>
      <c r="X50" s="5"/>
      <c r="Y50" s="5"/>
      <c r="Z50" s="4"/>
      <c r="AA50" s="4"/>
    </row>
    <row r="51" spans="1:27" s="689" customFormat="1">
      <c r="A51" s="208" t="s">
        <v>11</v>
      </c>
      <c r="B51" s="515">
        <f>'3b-RM Report Data'!J78</f>
        <v>0.9607</v>
      </c>
      <c r="C51" s="515">
        <f>'3b-RM Report Data'!Q78</f>
        <v>0.94820000000000004</v>
      </c>
      <c r="D51" s="515">
        <f>'3b-RM Report Data'!X78</f>
        <v>0.95069999999999999</v>
      </c>
      <c r="E51" s="515">
        <f>'3b-RM Report Data'!AE78</f>
        <v>0.94899999999999995</v>
      </c>
      <c r="F51" s="515">
        <f>'3b-RM Report Data'!AL78</f>
        <v>0.95269999999999999</v>
      </c>
      <c r="G51" s="515">
        <f>'3b-RM Report Data'!AS78</f>
        <v>0.95889999999999997</v>
      </c>
      <c r="H51" s="515">
        <f>'3b-RM Report Data'!AZ78</f>
        <v>0</v>
      </c>
      <c r="I51" s="515">
        <f>'3b-RM Report Data'!BG78</f>
        <v>0</v>
      </c>
      <c r="J51" s="515">
        <f>'3b-RM Report Data'!BN78</f>
        <v>0</v>
      </c>
      <c r="K51" s="515">
        <f>'3b-RM Report Data'!BU78</f>
        <v>0</v>
      </c>
      <c r="L51" s="515">
        <f>'3b-RM Report Data'!CB78</f>
        <v>0</v>
      </c>
      <c r="M51" s="515">
        <f>'3b-RM Report Data'!CI78</f>
        <v>0</v>
      </c>
      <c r="N51" s="516">
        <f>AVERAGE(B51:G51)</f>
        <v>0.95336666666666658</v>
      </c>
      <c r="W51" s="688"/>
      <c r="X51" s="7"/>
      <c r="Y51" s="7"/>
      <c r="Z51" s="6"/>
      <c r="AA51" s="6"/>
    </row>
    <row r="52" spans="1:27" ht="5.25" customHeight="1">
      <c r="A52" s="64"/>
      <c r="B52" s="65"/>
      <c r="C52" s="65"/>
      <c r="D52" s="65"/>
      <c r="E52" s="65"/>
      <c r="F52" s="65"/>
      <c r="G52" s="65"/>
      <c r="H52" s="65"/>
      <c r="I52" s="65"/>
      <c r="J52" s="65"/>
      <c r="K52" s="65"/>
      <c r="L52" s="65"/>
      <c r="M52" s="65"/>
      <c r="N52" s="66"/>
      <c r="P52" s="82"/>
      <c r="Q52" s="82"/>
      <c r="R52" s="82"/>
      <c r="S52" s="82"/>
      <c r="T52" s="82"/>
      <c r="U52" s="82"/>
      <c r="V52" s="82"/>
      <c r="W52" s="687"/>
      <c r="X52" s="5"/>
      <c r="Y52" s="5"/>
      <c r="Z52" s="4"/>
      <c r="AA52" s="4"/>
    </row>
    <row r="53" spans="1:27" ht="15.6">
      <c r="A53" s="77"/>
      <c r="B53" s="212"/>
      <c r="C53" s="8"/>
      <c r="D53" s="8"/>
      <c r="E53" s="8"/>
      <c r="F53" s="1"/>
      <c r="G53" s="1"/>
      <c r="H53" s="1"/>
      <c r="I53" s="1"/>
      <c r="J53" s="1"/>
      <c r="K53" s="1"/>
      <c r="L53" s="1"/>
      <c r="M53" s="1"/>
      <c r="N53" s="24"/>
      <c r="P53" s="1"/>
      <c r="Q53" s="1"/>
      <c r="R53" s="1"/>
      <c r="S53" s="1"/>
      <c r="T53" s="1"/>
      <c r="U53" s="1"/>
      <c r="V53" s="24"/>
      <c r="W53" s="596"/>
    </row>
    <row r="54" spans="1:27" ht="17.399999999999999">
      <c r="A54" s="853" t="s">
        <v>486</v>
      </c>
      <c r="B54" s="889" t="s">
        <v>8</v>
      </c>
      <c r="C54" s="889" t="s">
        <v>78</v>
      </c>
      <c r="D54" s="889" t="s">
        <v>79</v>
      </c>
      <c r="E54" s="889" t="s">
        <v>80</v>
      </c>
      <c r="F54" s="889" t="s">
        <v>81</v>
      </c>
      <c r="G54" s="889" t="s">
        <v>82</v>
      </c>
      <c r="H54" s="889" t="s">
        <v>83</v>
      </c>
      <c r="I54" s="889" t="s">
        <v>84</v>
      </c>
      <c r="J54" s="889" t="s">
        <v>85</v>
      </c>
      <c r="K54" s="889" t="s">
        <v>4</v>
      </c>
      <c r="L54" s="889" t="s">
        <v>5</v>
      </c>
      <c r="M54" s="889" t="s">
        <v>6</v>
      </c>
      <c r="N54" s="890" t="s">
        <v>18</v>
      </c>
      <c r="P54" s="1"/>
      <c r="Q54" s="1"/>
      <c r="R54" s="1"/>
      <c r="S54" s="1"/>
      <c r="T54" s="1"/>
      <c r="U54" s="1"/>
      <c r="V54" s="24"/>
      <c r="W54" s="596"/>
    </row>
    <row r="55" spans="1:27" ht="15.6">
      <c r="A55" s="70" t="s">
        <v>144</v>
      </c>
      <c r="B55" s="63">
        <v>31</v>
      </c>
      <c r="C55" s="63">
        <v>31</v>
      </c>
      <c r="D55" s="63">
        <v>30</v>
      </c>
      <c r="E55" s="63">
        <v>31</v>
      </c>
      <c r="F55" s="63">
        <v>29</v>
      </c>
      <c r="G55" s="63">
        <v>28</v>
      </c>
      <c r="H55" s="63">
        <v>31</v>
      </c>
      <c r="I55" s="63">
        <v>28</v>
      </c>
      <c r="J55" s="63">
        <v>31</v>
      </c>
      <c r="K55" s="63">
        <v>30</v>
      </c>
      <c r="L55" s="63">
        <v>31</v>
      </c>
      <c r="M55" s="63">
        <v>30</v>
      </c>
      <c r="N55" s="49">
        <v>361</v>
      </c>
      <c r="P55" s="1"/>
      <c r="Q55" s="1"/>
      <c r="R55" s="1"/>
      <c r="S55" s="1"/>
      <c r="T55" s="1"/>
      <c r="U55" s="1"/>
      <c r="V55" s="24"/>
      <c r="W55" s="596"/>
    </row>
    <row r="56" spans="1:27" ht="6" customHeight="1">
      <c r="A56" s="64"/>
      <c r="B56" s="65"/>
      <c r="C56" s="65"/>
      <c r="D56" s="65"/>
      <c r="E56" s="65"/>
      <c r="F56" s="65"/>
      <c r="G56" s="65"/>
      <c r="H56" s="65"/>
      <c r="I56" s="65"/>
      <c r="J56" s="65"/>
      <c r="K56" s="65"/>
      <c r="L56" s="65"/>
      <c r="M56" s="65"/>
      <c r="N56" s="66"/>
      <c r="P56" s="1"/>
      <c r="Q56" s="1"/>
      <c r="R56" s="1"/>
      <c r="S56" s="1"/>
      <c r="T56" s="1"/>
      <c r="U56" s="1"/>
      <c r="V56" s="24"/>
      <c r="W56" s="596"/>
    </row>
    <row r="57" spans="1:27" ht="15.6">
      <c r="A57" s="208" t="s">
        <v>145</v>
      </c>
      <c r="B57" s="507">
        <v>2261</v>
      </c>
      <c r="C57" s="507">
        <v>2693</v>
      </c>
      <c r="D57" s="507">
        <v>2544</v>
      </c>
      <c r="E57" s="507">
        <v>2902</v>
      </c>
      <c r="F57" s="507">
        <v>2519</v>
      </c>
      <c r="G57" s="507">
        <v>2239</v>
      </c>
      <c r="H57" s="507">
        <v>2679</v>
      </c>
      <c r="I57" s="507">
        <v>2663</v>
      </c>
      <c r="J57" s="507">
        <v>3004</v>
      </c>
      <c r="K57" s="507">
        <v>2806</v>
      </c>
      <c r="L57" s="507">
        <v>3020</v>
      </c>
      <c r="M57" s="507">
        <v>2674</v>
      </c>
      <c r="N57" s="84">
        <v>32004</v>
      </c>
      <c r="P57" s="1"/>
      <c r="Q57" s="1"/>
      <c r="R57" s="1"/>
      <c r="S57" s="1"/>
      <c r="T57" s="1"/>
      <c r="U57" s="1"/>
      <c r="V57" s="24"/>
      <c r="W57" s="596"/>
    </row>
    <row r="58" spans="1:27" ht="15.6">
      <c r="A58" s="208" t="s">
        <v>146</v>
      </c>
      <c r="B58" s="507">
        <v>3162</v>
      </c>
      <c r="C58" s="507">
        <v>3384</v>
      </c>
      <c r="D58" s="507">
        <v>2866</v>
      </c>
      <c r="E58" s="507">
        <v>3305</v>
      </c>
      <c r="F58" s="507">
        <v>2792</v>
      </c>
      <c r="G58" s="507">
        <v>2180</v>
      </c>
      <c r="H58" s="507">
        <v>2991</v>
      </c>
      <c r="I58" s="507">
        <v>2936</v>
      </c>
      <c r="J58" s="507">
        <v>3004</v>
      </c>
      <c r="K58" s="507">
        <v>2956</v>
      </c>
      <c r="L58" s="507">
        <v>2998</v>
      </c>
      <c r="M58" s="507">
        <v>2729</v>
      </c>
      <c r="N58" s="84">
        <v>35303</v>
      </c>
      <c r="P58" s="1"/>
      <c r="Q58" s="1"/>
      <c r="R58" s="1"/>
      <c r="S58" s="1"/>
      <c r="T58" s="1"/>
      <c r="U58" s="1"/>
      <c r="V58" s="24"/>
      <c r="W58" s="596"/>
    </row>
    <row r="59" spans="1:27" ht="15.6">
      <c r="A59" s="208" t="s">
        <v>305</v>
      </c>
      <c r="B59" s="67">
        <v>3383</v>
      </c>
      <c r="C59" s="67">
        <v>3386</v>
      </c>
      <c r="D59" s="67">
        <v>2982</v>
      </c>
      <c r="E59" s="67">
        <v>3501</v>
      </c>
      <c r="F59" s="67">
        <v>2939</v>
      </c>
      <c r="G59" s="67">
        <v>2406</v>
      </c>
      <c r="H59" s="67">
        <v>3386</v>
      </c>
      <c r="I59" s="67">
        <v>3302</v>
      </c>
      <c r="J59" s="69">
        <v>3486</v>
      </c>
      <c r="K59" s="67">
        <v>3499</v>
      </c>
      <c r="L59" s="67">
        <v>3856</v>
      </c>
      <c r="M59" s="67">
        <v>3784</v>
      </c>
      <c r="N59" s="69">
        <v>39910</v>
      </c>
      <c r="P59" s="1"/>
      <c r="Q59" s="1"/>
      <c r="R59" s="1"/>
      <c r="S59" s="1"/>
      <c r="T59" s="1"/>
      <c r="U59" s="1"/>
      <c r="V59" s="24"/>
      <c r="W59" s="596"/>
    </row>
    <row r="60" spans="1:27" ht="15.6">
      <c r="A60" s="208" t="s">
        <v>293</v>
      </c>
      <c r="B60" s="67">
        <v>1068</v>
      </c>
      <c r="C60" s="67">
        <v>1383</v>
      </c>
      <c r="D60" s="67">
        <v>834</v>
      </c>
      <c r="E60" s="67">
        <v>1026</v>
      </c>
      <c r="F60" s="67">
        <v>523</v>
      </c>
      <c r="G60" s="67">
        <v>456</v>
      </c>
      <c r="H60" s="67">
        <v>505</v>
      </c>
      <c r="I60" s="67">
        <v>466</v>
      </c>
      <c r="J60" s="67">
        <v>486</v>
      </c>
      <c r="K60" s="67">
        <v>541</v>
      </c>
      <c r="L60" s="67">
        <v>632</v>
      </c>
      <c r="M60" s="67">
        <v>525</v>
      </c>
      <c r="N60" s="69">
        <v>8445</v>
      </c>
      <c r="P60" s="1"/>
      <c r="Q60" s="1"/>
      <c r="R60" s="1"/>
      <c r="S60" s="1"/>
      <c r="T60" s="1"/>
      <c r="U60" s="1"/>
      <c r="V60" s="24"/>
      <c r="W60" s="596"/>
    </row>
    <row r="61" spans="1:27">
      <c r="A61" s="49" t="s">
        <v>235</v>
      </c>
      <c r="B61" s="68">
        <v>9874</v>
      </c>
      <c r="C61" s="68">
        <v>10846</v>
      </c>
      <c r="D61" s="68">
        <v>9226</v>
      </c>
      <c r="E61" s="68">
        <v>10734</v>
      </c>
      <c r="F61" s="68">
        <v>8773</v>
      </c>
      <c r="G61" s="68">
        <v>7281</v>
      </c>
      <c r="H61" s="68">
        <v>9561</v>
      </c>
      <c r="I61" s="68">
        <v>9367</v>
      </c>
      <c r="J61" s="68">
        <v>9980</v>
      </c>
      <c r="K61" s="68">
        <v>9802</v>
      </c>
      <c r="L61" s="68">
        <v>10506</v>
      </c>
      <c r="M61" s="68">
        <v>9712</v>
      </c>
      <c r="N61" s="84">
        <v>115662</v>
      </c>
    </row>
    <row r="62" spans="1:27">
      <c r="A62" s="70" t="s">
        <v>134</v>
      </c>
      <c r="B62" s="67">
        <v>895</v>
      </c>
      <c r="C62" s="67">
        <v>948</v>
      </c>
      <c r="D62" s="67">
        <v>854</v>
      </c>
      <c r="E62" s="67">
        <v>1043</v>
      </c>
      <c r="F62" s="67">
        <v>936</v>
      </c>
      <c r="G62" s="67">
        <v>838</v>
      </c>
      <c r="H62" s="67">
        <v>1166</v>
      </c>
      <c r="I62" s="67">
        <v>1018</v>
      </c>
      <c r="J62" s="67">
        <v>1141</v>
      </c>
      <c r="K62" s="67">
        <v>1098</v>
      </c>
      <c r="L62" s="67">
        <v>1095</v>
      </c>
      <c r="M62" s="67">
        <v>1125</v>
      </c>
      <c r="N62" s="69">
        <v>12157</v>
      </c>
    </row>
    <row r="63" spans="1:27">
      <c r="A63" s="70" t="s">
        <v>142</v>
      </c>
      <c r="B63" s="67">
        <v>879</v>
      </c>
      <c r="C63" s="67">
        <v>931</v>
      </c>
      <c r="D63" s="67">
        <v>782</v>
      </c>
      <c r="E63" s="67">
        <v>942</v>
      </c>
      <c r="F63" s="67">
        <v>826</v>
      </c>
      <c r="G63" s="67">
        <v>675</v>
      </c>
      <c r="H63" s="67">
        <v>886</v>
      </c>
      <c r="I63" s="67">
        <v>997</v>
      </c>
      <c r="J63" s="67">
        <v>983</v>
      </c>
      <c r="K63" s="67">
        <v>1083</v>
      </c>
      <c r="L63" s="67">
        <v>1218</v>
      </c>
      <c r="M63" s="67">
        <v>1053</v>
      </c>
      <c r="N63" s="69">
        <v>11255</v>
      </c>
    </row>
    <row r="64" spans="1:27">
      <c r="A64" s="70" t="s">
        <v>136</v>
      </c>
      <c r="B64" s="67">
        <v>482</v>
      </c>
      <c r="C64" s="67">
        <v>538</v>
      </c>
      <c r="D64" s="67">
        <v>402</v>
      </c>
      <c r="E64" s="67">
        <v>641</v>
      </c>
      <c r="F64" s="67">
        <v>588</v>
      </c>
      <c r="G64" s="67">
        <v>555</v>
      </c>
      <c r="H64" s="67">
        <v>404</v>
      </c>
      <c r="I64" s="67">
        <v>490</v>
      </c>
      <c r="J64" s="67">
        <v>520</v>
      </c>
      <c r="K64" s="67">
        <v>590</v>
      </c>
      <c r="L64" s="67">
        <v>615</v>
      </c>
      <c r="M64" s="67">
        <v>487</v>
      </c>
      <c r="N64" s="69">
        <v>6312</v>
      </c>
    </row>
    <row r="65" spans="1:14">
      <c r="A65" s="49" t="s">
        <v>158</v>
      </c>
      <c r="B65" s="68">
        <v>2256</v>
      </c>
      <c r="C65" s="68">
        <v>2417</v>
      </c>
      <c r="D65" s="68">
        <v>2038</v>
      </c>
      <c r="E65" s="68">
        <v>2626</v>
      </c>
      <c r="F65" s="68">
        <v>2350</v>
      </c>
      <c r="G65" s="68">
        <v>2068</v>
      </c>
      <c r="H65" s="68">
        <v>2456</v>
      </c>
      <c r="I65" s="68">
        <v>2505</v>
      </c>
      <c r="J65" s="68">
        <v>2644</v>
      </c>
      <c r="K65" s="68">
        <v>2771</v>
      </c>
      <c r="L65" s="68">
        <v>2928</v>
      </c>
      <c r="M65" s="68">
        <v>2665</v>
      </c>
      <c r="N65" s="84">
        <v>29724</v>
      </c>
    </row>
    <row r="66" spans="1:14">
      <c r="A66" s="49" t="s">
        <v>115</v>
      </c>
      <c r="B66" s="84">
        <v>12130</v>
      </c>
      <c r="C66" s="68">
        <v>13263</v>
      </c>
      <c r="D66" s="68">
        <v>11264</v>
      </c>
      <c r="E66" s="68">
        <v>13360</v>
      </c>
      <c r="F66" s="68">
        <v>11123</v>
      </c>
      <c r="G66" s="68">
        <v>9349</v>
      </c>
      <c r="H66" s="68">
        <v>12017</v>
      </c>
      <c r="I66" s="68">
        <v>11872</v>
      </c>
      <c r="J66" s="68">
        <v>12624</v>
      </c>
      <c r="K66" s="68">
        <v>12573</v>
      </c>
      <c r="L66" s="68">
        <v>13434</v>
      </c>
      <c r="M66" s="68">
        <v>12377</v>
      </c>
      <c r="N66" s="84">
        <v>145386</v>
      </c>
    </row>
    <row r="67" spans="1:14">
      <c r="A67" s="70" t="s">
        <v>44</v>
      </c>
      <c r="B67" s="69">
        <v>405</v>
      </c>
      <c r="C67" s="69">
        <v>441</v>
      </c>
      <c r="D67" s="69">
        <v>312</v>
      </c>
      <c r="E67" s="69">
        <v>357</v>
      </c>
      <c r="F67" s="69">
        <v>358</v>
      </c>
      <c r="G67" s="69">
        <v>351</v>
      </c>
      <c r="H67" s="69">
        <v>366</v>
      </c>
      <c r="I67" s="69">
        <v>377</v>
      </c>
      <c r="J67" s="69">
        <v>360</v>
      </c>
      <c r="K67" s="69">
        <v>305</v>
      </c>
      <c r="L67" s="69">
        <v>342</v>
      </c>
      <c r="M67" s="69">
        <v>285</v>
      </c>
      <c r="N67" s="69">
        <v>4259</v>
      </c>
    </row>
    <row r="68" spans="1:14">
      <c r="A68" s="49" t="s">
        <v>37</v>
      </c>
      <c r="B68" s="84">
        <v>12535</v>
      </c>
      <c r="C68" s="84">
        <v>13704</v>
      </c>
      <c r="D68" s="84">
        <v>11576</v>
      </c>
      <c r="E68" s="84">
        <v>13717</v>
      </c>
      <c r="F68" s="84">
        <v>11481</v>
      </c>
      <c r="G68" s="84">
        <v>9700</v>
      </c>
      <c r="H68" s="84">
        <v>12383</v>
      </c>
      <c r="I68" s="84">
        <v>12249</v>
      </c>
      <c r="J68" s="84">
        <v>12984</v>
      </c>
      <c r="K68" s="84">
        <v>12878</v>
      </c>
      <c r="L68" s="84">
        <v>13776</v>
      </c>
      <c r="M68" s="84">
        <v>12662</v>
      </c>
      <c r="N68" s="84">
        <v>149645</v>
      </c>
    </row>
    <row r="69" spans="1:14">
      <c r="A69" s="70" t="s">
        <v>35</v>
      </c>
      <c r="B69" s="67">
        <v>546</v>
      </c>
      <c r="C69" s="67">
        <v>639</v>
      </c>
      <c r="D69" s="67">
        <v>505</v>
      </c>
      <c r="E69" s="67">
        <v>629</v>
      </c>
      <c r="F69" s="67">
        <v>435</v>
      </c>
      <c r="G69" s="69">
        <v>344</v>
      </c>
      <c r="H69" s="67">
        <v>404</v>
      </c>
      <c r="I69" s="67">
        <v>475</v>
      </c>
      <c r="J69" s="67">
        <v>522</v>
      </c>
      <c r="K69" s="67">
        <v>422</v>
      </c>
      <c r="L69" s="67">
        <v>458</v>
      </c>
      <c r="M69" s="67">
        <v>389</v>
      </c>
      <c r="N69" s="69">
        <v>5768</v>
      </c>
    </row>
    <row r="70" spans="1:14">
      <c r="A70" s="70" t="s">
        <v>36</v>
      </c>
      <c r="B70" s="67">
        <v>140</v>
      </c>
      <c r="C70" s="67">
        <v>108</v>
      </c>
      <c r="D70" s="67">
        <v>73</v>
      </c>
      <c r="E70" s="67">
        <v>108</v>
      </c>
      <c r="F70" s="67">
        <v>90</v>
      </c>
      <c r="G70" s="67">
        <v>75</v>
      </c>
      <c r="H70" s="67">
        <v>96</v>
      </c>
      <c r="I70" s="67">
        <v>133</v>
      </c>
      <c r="J70" s="67">
        <v>139</v>
      </c>
      <c r="K70" s="67">
        <v>110</v>
      </c>
      <c r="L70" s="67">
        <v>195</v>
      </c>
      <c r="M70" s="67">
        <v>241</v>
      </c>
      <c r="N70" s="69">
        <v>1508</v>
      </c>
    </row>
    <row r="71" spans="1:14">
      <c r="A71" s="49" t="s">
        <v>91</v>
      </c>
      <c r="B71" s="68">
        <v>11849</v>
      </c>
      <c r="C71" s="68">
        <v>12957</v>
      </c>
      <c r="D71" s="68">
        <v>10998</v>
      </c>
      <c r="E71" s="68">
        <v>12980</v>
      </c>
      <c r="F71" s="68">
        <v>10956</v>
      </c>
      <c r="G71" s="68">
        <v>9281</v>
      </c>
      <c r="H71" s="68">
        <v>11883</v>
      </c>
      <c r="I71" s="68">
        <v>11641</v>
      </c>
      <c r="J71" s="68">
        <v>12323</v>
      </c>
      <c r="K71" s="68">
        <v>12346</v>
      </c>
      <c r="L71" s="68">
        <v>13123</v>
      </c>
      <c r="M71" s="68">
        <v>12032</v>
      </c>
      <c r="N71" s="84">
        <v>142369</v>
      </c>
    </row>
    <row r="72" spans="1:14">
      <c r="A72" s="78" t="s">
        <v>179</v>
      </c>
      <c r="B72" s="79">
        <v>0</v>
      </c>
      <c r="C72" s="79">
        <v>0</v>
      </c>
      <c r="D72" s="79">
        <v>0</v>
      </c>
      <c r="E72" s="79">
        <v>0</v>
      </c>
      <c r="F72" s="79">
        <v>0</v>
      </c>
      <c r="G72" s="79">
        <v>0</v>
      </c>
      <c r="H72" s="79">
        <v>0</v>
      </c>
      <c r="I72" s="79">
        <v>0</v>
      </c>
      <c r="J72" s="79">
        <v>0</v>
      </c>
      <c r="K72" s="79">
        <v>0</v>
      </c>
      <c r="L72" s="79">
        <v>0</v>
      </c>
      <c r="M72" s="79">
        <v>0</v>
      </c>
      <c r="N72" s="693">
        <v>0</v>
      </c>
    </row>
    <row r="73" spans="1:14">
      <c r="A73" s="49" t="s">
        <v>180</v>
      </c>
      <c r="B73" s="68">
        <v>12130</v>
      </c>
      <c r="C73" s="68">
        <v>13263</v>
      </c>
      <c r="D73" s="68">
        <v>11264</v>
      </c>
      <c r="E73" s="68">
        <v>13360</v>
      </c>
      <c r="F73" s="68">
        <v>11123</v>
      </c>
      <c r="G73" s="68">
        <v>9349</v>
      </c>
      <c r="H73" s="68">
        <v>12017</v>
      </c>
      <c r="I73" s="68">
        <v>11872</v>
      </c>
      <c r="J73" s="68">
        <v>12624</v>
      </c>
      <c r="K73" s="68">
        <v>12573</v>
      </c>
      <c r="L73" s="68">
        <v>13434</v>
      </c>
      <c r="M73" s="68">
        <v>12377</v>
      </c>
      <c r="N73" s="84">
        <v>145386</v>
      </c>
    </row>
    <row r="74" spans="1:14" ht="6" customHeight="1">
      <c r="A74" s="64"/>
      <c r="B74" s="65"/>
      <c r="C74" s="65"/>
      <c r="D74" s="65"/>
      <c r="E74" s="65"/>
      <c r="F74" s="65"/>
      <c r="G74" s="65"/>
      <c r="H74" s="65"/>
      <c r="I74" s="65"/>
      <c r="J74" s="65"/>
      <c r="K74" s="65"/>
      <c r="L74" s="65"/>
      <c r="M74" s="65"/>
      <c r="N74" s="66"/>
    </row>
    <row r="75" spans="1:14">
      <c r="A75" s="208" t="s">
        <v>87</v>
      </c>
      <c r="B75" s="507">
        <v>11102</v>
      </c>
      <c r="C75" s="507">
        <v>12194</v>
      </c>
      <c r="D75" s="507">
        <v>9838</v>
      </c>
      <c r="E75" s="507">
        <v>12179</v>
      </c>
      <c r="F75" s="507">
        <v>10437</v>
      </c>
      <c r="G75" s="507">
        <v>8413</v>
      </c>
      <c r="H75" s="507">
        <v>11276</v>
      </c>
      <c r="I75" s="507">
        <v>10565</v>
      </c>
      <c r="J75" s="507">
        <v>11015</v>
      </c>
      <c r="K75" s="507">
        <v>10575</v>
      </c>
      <c r="L75" s="507">
        <v>11598</v>
      </c>
      <c r="M75" s="507">
        <v>10074</v>
      </c>
      <c r="N75" s="68">
        <v>129266</v>
      </c>
    </row>
    <row r="76" spans="1:14">
      <c r="A76" s="208" t="s">
        <v>88</v>
      </c>
      <c r="B76" s="507">
        <v>666</v>
      </c>
      <c r="C76" s="507">
        <v>658</v>
      </c>
      <c r="D76" s="507">
        <v>732</v>
      </c>
      <c r="E76" s="507">
        <v>623</v>
      </c>
      <c r="F76" s="507">
        <v>621</v>
      </c>
      <c r="G76" s="507">
        <v>758</v>
      </c>
      <c r="H76" s="507">
        <v>667</v>
      </c>
      <c r="I76" s="507">
        <v>706</v>
      </c>
      <c r="J76" s="507">
        <v>817</v>
      </c>
      <c r="K76" s="507">
        <v>518</v>
      </c>
      <c r="L76" s="507">
        <v>688</v>
      </c>
      <c r="M76" s="507">
        <v>761</v>
      </c>
      <c r="N76" s="68">
        <v>8215</v>
      </c>
    </row>
    <row r="77" spans="1:14">
      <c r="A77" s="208" t="s">
        <v>332</v>
      </c>
      <c r="B77" s="507">
        <v>75</v>
      </c>
      <c r="C77" s="507">
        <v>55</v>
      </c>
      <c r="D77" s="507">
        <v>55</v>
      </c>
      <c r="E77" s="507">
        <v>58</v>
      </c>
      <c r="F77" s="507">
        <v>55</v>
      </c>
      <c r="G77" s="507">
        <v>85</v>
      </c>
      <c r="H77" s="507">
        <v>108</v>
      </c>
      <c r="I77" s="507">
        <v>121</v>
      </c>
      <c r="J77" s="507">
        <v>172</v>
      </c>
      <c r="K77" s="507">
        <v>115</v>
      </c>
      <c r="L77" s="507">
        <v>148</v>
      </c>
      <c r="M77" s="507">
        <v>204</v>
      </c>
      <c r="N77" s="68">
        <v>1251</v>
      </c>
    </row>
    <row r="78" spans="1:14">
      <c r="A78" s="70" t="s">
        <v>92</v>
      </c>
      <c r="B78" s="69">
        <v>11843</v>
      </c>
      <c r="C78" s="69">
        <v>12907</v>
      </c>
      <c r="D78" s="69">
        <v>10625</v>
      </c>
      <c r="E78" s="69">
        <v>12860</v>
      </c>
      <c r="F78" s="69">
        <v>11113</v>
      </c>
      <c r="G78" s="69">
        <v>9256</v>
      </c>
      <c r="H78" s="69">
        <v>12051</v>
      </c>
      <c r="I78" s="69">
        <v>11392</v>
      </c>
      <c r="J78" s="69">
        <v>12004</v>
      </c>
      <c r="K78" s="69">
        <v>11208</v>
      </c>
      <c r="L78" s="69">
        <v>12434</v>
      </c>
      <c r="M78" s="69">
        <v>11039</v>
      </c>
      <c r="N78" s="68">
        <v>138732</v>
      </c>
    </row>
    <row r="79" spans="1:14">
      <c r="A79" s="208" t="s">
        <v>38</v>
      </c>
      <c r="B79" s="507">
        <v>1875</v>
      </c>
      <c r="C79" s="507">
        <v>2028</v>
      </c>
      <c r="D79" s="507">
        <v>1594</v>
      </c>
      <c r="E79" s="507">
        <v>1983</v>
      </c>
      <c r="F79" s="507">
        <v>1874</v>
      </c>
      <c r="G79" s="507">
        <v>1714</v>
      </c>
      <c r="H79" s="507">
        <v>1969</v>
      </c>
      <c r="I79" s="507">
        <v>1748</v>
      </c>
      <c r="J79" s="507">
        <v>1816</v>
      </c>
      <c r="K79" s="507">
        <v>1654</v>
      </c>
      <c r="L79" s="507">
        <v>1771</v>
      </c>
      <c r="M79" s="507">
        <v>1566</v>
      </c>
      <c r="N79" s="68">
        <v>21592</v>
      </c>
    </row>
    <row r="80" spans="1:14">
      <c r="A80" s="208" t="s">
        <v>39</v>
      </c>
      <c r="B80" s="507">
        <v>0</v>
      </c>
      <c r="C80" s="507">
        <v>0</v>
      </c>
      <c r="D80" s="507">
        <v>0</v>
      </c>
      <c r="E80" s="507">
        <v>0</v>
      </c>
      <c r="F80" s="507">
        <v>0</v>
      </c>
      <c r="G80" s="507">
        <v>0</v>
      </c>
      <c r="H80" s="507">
        <v>0</v>
      </c>
      <c r="I80" s="507">
        <v>0</v>
      </c>
      <c r="J80" s="507">
        <v>0</v>
      </c>
      <c r="K80" s="507">
        <v>0</v>
      </c>
      <c r="L80" s="507">
        <v>0</v>
      </c>
      <c r="M80" s="507">
        <v>0</v>
      </c>
      <c r="N80" s="68">
        <v>0</v>
      </c>
    </row>
    <row r="81" spans="1:14">
      <c r="A81" s="208" t="s">
        <v>93</v>
      </c>
      <c r="B81" s="507">
        <v>1420</v>
      </c>
      <c r="C81" s="507">
        <v>1535</v>
      </c>
      <c r="D81" s="507">
        <v>1236</v>
      </c>
      <c r="E81" s="507">
        <v>1503</v>
      </c>
      <c r="F81" s="507">
        <v>1228</v>
      </c>
      <c r="G81" s="507">
        <v>1026</v>
      </c>
      <c r="H81" s="507">
        <v>1358</v>
      </c>
      <c r="I81" s="507">
        <v>1289</v>
      </c>
      <c r="J81" s="507">
        <v>1373</v>
      </c>
      <c r="K81" s="507">
        <v>1335</v>
      </c>
      <c r="L81" s="507">
        <v>1499</v>
      </c>
      <c r="M81" s="507">
        <v>1303</v>
      </c>
      <c r="N81" s="84">
        <v>16105</v>
      </c>
    </row>
    <row r="82" spans="1:14" ht="6" customHeight="1">
      <c r="A82" s="64"/>
      <c r="B82" s="65"/>
      <c r="C82" s="65">
        <v>222.81</v>
      </c>
      <c r="D82" s="65"/>
      <c r="E82" s="65"/>
      <c r="F82" s="65"/>
      <c r="G82" s="65"/>
      <c r="H82" s="65"/>
      <c r="I82" s="65"/>
      <c r="J82" s="65"/>
      <c r="K82" s="65"/>
      <c r="L82" s="65"/>
      <c r="M82" s="65"/>
      <c r="N82" s="66"/>
    </row>
    <row r="83" spans="1:14">
      <c r="A83" s="209" t="s">
        <v>294</v>
      </c>
      <c r="B83" s="210">
        <v>6114</v>
      </c>
      <c r="C83" s="210">
        <v>6301</v>
      </c>
      <c r="D83" s="210">
        <v>5458</v>
      </c>
      <c r="E83" s="210">
        <v>6686</v>
      </c>
      <c r="F83" s="210">
        <v>5718</v>
      </c>
      <c r="G83" s="210">
        <v>4873</v>
      </c>
      <c r="H83" s="210">
        <v>6389</v>
      </c>
      <c r="I83" s="210">
        <v>6279</v>
      </c>
      <c r="J83" s="210">
        <v>6685</v>
      </c>
      <c r="K83" s="210">
        <v>6808</v>
      </c>
      <c r="L83" s="210">
        <v>7354</v>
      </c>
      <c r="M83" s="210">
        <v>6921</v>
      </c>
      <c r="N83" s="67">
        <v>75586</v>
      </c>
    </row>
    <row r="84" spans="1:14">
      <c r="A84" s="209" t="s">
        <v>295</v>
      </c>
      <c r="B84" s="210">
        <v>1068</v>
      </c>
      <c r="C84" s="210">
        <v>1383</v>
      </c>
      <c r="D84" s="210">
        <v>834</v>
      </c>
      <c r="E84" s="210">
        <v>1026</v>
      </c>
      <c r="F84" s="210">
        <v>523</v>
      </c>
      <c r="G84" s="210">
        <v>456</v>
      </c>
      <c r="H84" s="210">
        <v>505</v>
      </c>
      <c r="I84" s="210">
        <v>466</v>
      </c>
      <c r="J84" s="210">
        <v>486</v>
      </c>
      <c r="K84" s="210">
        <v>541</v>
      </c>
      <c r="L84" s="210">
        <v>632</v>
      </c>
      <c r="M84" s="210">
        <v>525</v>
      </c>
      <c r="N84" s="67">
        <v>8445</v>
      </c>
    </row>
    <row r="85" spans="1:14">
      <c r="A85" s="209" t="s">
        <v>296</v>
      </c>
      <c r="B85" s="210">
        <v>4948</v>
      </c>
      <c r="C85" s="210">
        <v>5579</v>
      </c>
      <c r="D85" s="210">
        <v>4972</v>
      </c>
      <c r="E85" s="210">
        <v>5648</v>
      </c>
      <c r="F85" s="210">
        <v>4882</v>
      </c>
      <c r="G85" s="210">
        <v>4020</v>
      </c>
      <c r="H85" s="210">
        <v>5123</v>
      </c>
      <c r="I85" s="210">
        <v>5127</v>
      </c>
      <c r="J85" s="210">
        <v>5453</v>
      </c>
      <c r="K85" s="210">
        <v>5224</v>
      </c>
      <c r="L85" s="210">
        <v>5448</v>
      </c>
      <c r="M85" s="210">
        <v>4931</v>
      </c>
      <c r="N85" s="67">
        <v>61355</v>
      </c>
    </row>
    <row r="86" spans="1:14">
      <c r="A86" s="213" t="s">
        <v>269</v>
      </c>
      <c r="B86" s="215">
        <v>12130</v>
      </c>
      <c r="C86" s="215">
        <v>13263</v>
      </c>
      <c r="D86" s="215">
        <v>11264</v>
      </c>
      <c r="E86" s="215">
        <v>13360</v>
      </c>
      <c r="F86" s="215">
        <v>11123</v>
      </c>
      <c r="G86" s="215">
        <v>9349</v>
      </c>
      <c r="H86" s="215">
        <v>12017</v>
      </c>
      <c r="I86" s="215">
        <v>11872</v>
      </c>
      <c r="J86" s="215">
        <v>12624</v>
      </c>
      <c r="K86" s="215">
        <v>12573</v>
      </c>
      <c r="L86" s="215">
        <v>13434</v>
      </c>
      <c r="M86" s="215">
        <v>12377</v>
      </c>
      <c r="N86" s="215">
        <v>145386</v>
      </c>
    </row>
    <row r="87" spans="1:14" ht="6" customHeight="1">
      <c r="A87" s="64"/>
      <c r="B87" s="65"/>
      <c r="C87" s="65">
        <v>222.81</v>
      </c>
      <c r="D87" s="65"/>
      <c r="E87" s="65"/>
      <c r="F87" s="65"/>
      <c r="G87" s="65"/>
      <c r="H87" s="65"/>
      <c r="I87" s="65"/>
      <c r="J87" s="65"/>
      <c r="K87" s="65"/>
      <c r="L87" s="65"/>
      <c r="M87" s="65"/>
      <c r="N87" s="66"/>
    </row>
    <row r="88" spans="1:14">
      <c r="A88" s="209" t="s">
        <v>289</v>
      </c>
      <c r="B88" s="210">
        <v>717.5</v>
      </c>
      <c r="C88" s="210">
        <v>797.75</v>
      </c>
      <c r="D88" s="210">
        <v>668.37</v>
      </c>
      <c r="E88" s="210">
        <v>781.48</v>
      </c>
      <c r="F88" s="210">
        <v>707.15</v>
      </c>
      <c r="G88" s="210">
        <v>650.83000000000004</v>
      </c>
      <c r="H88" s="210">
        <v>719.53</v>
      </c>
      <c r="I88" s="210">
        <v>687.38000000000011</v>
      </c>
      <c r="J88" s="210">
        <v>731.84999999999991</v>
      </c>
      <c r="K88" s="210">
        <v>716.90000000000009</v>
      </c>
      <c r="L88" s="210">
        <v>750.95</v>
      </c>
      <c r="M88" s="210">
        <v>706.73</v>
      </c>
      <c r="N88" s="67">
        <v>8636.42</v>
      </c>
    </row>
    <row r="89" spans="1:14">
      <c r="A89" s="209" t="s">
        <v>290</v>
      </c>
      <c r="B89" s="210">
        <v>4964.12</v>
      </c>
      <c r="C89" s="210">
        <v>5466.03</v>
      </c>
      <c r="D89" s="210">
        <v>4960.95</v>
      </c>
      <c r="E89" s="210">
        <v>5820.9500000000007</v>
      </c>
      <c r="F89" s="210">
        <v>5157.3700000000008</v>
      </c>
      <c r="G89" s="210">
        <v>4666.5200000000004</v>
      </c>
      <c r="H89" s="210">
        <v>5685.04</v>
      </c>
      <c r="I89" s="210">
        <v>5415</v>
      </c>
      <c r="J89" s="210">
        <v>5786.25</v>
      </c>
      <c r="K89" s="210">
        <v>5801.4500000000007</v>
      </c>
      <c r="L89" s="210">
        <v>6337.93</v>
      </c>
      <c r="M89" s="210">
        <v>5750.85</v>
      </c>
      <c r="N89" s="67">
        <v>65812.459999999992</v>
      </c>
    </row>
    <row r="90" spans="1:14">
      <c r="A90" s="49" t="s">
        <v>45</v>
      </c>
      <c r="B90" s="211">
        <v>5681.62</v>
      </c>
      <c r="C90" s="211">
        <v>6263.78</v>
      </c>
      <c r="D90" s="211">
        <v>5629.32</v>
      </c>
      <c r="E90" s="211">
        <v>6602.43</v>
      </c>
      <c r="F90" s="211">
        <v>5864.52</v>
      </c>
      <c r="G90" s="211">
        <v>5317.35</v>
      </c>
      <c r="H90" s="211">
        <v>6404.57</v>
      </c>
      <c r="I90" s="211">
        <v>6102.38</v>
      </c>
      <c r="J90" s="211">
        <v>6518.1</v>
      </c>
      <c r="K90" s="211">
        <v>6518.35</v>
      </c>
      <c r="L90" s="211">
        <v>7088.88</v>
      </c>
      <c r="M90" s="211">
        <v>6457.58</v>
      </c>
      <c r="N90" s="84">
        <v>74448.88</v>
      </c>
    </row>
    <row r="91" spans="1:14">
      <c r="A91" s="209" t="s">
        <v>291</v>
      </c>
      <c r="B91" s="210">
        <v>634</v>
      </c>
      <c r="C91" s="210">
        <v>690</v>
      </c>
      <c r="D91" s="210">
        <v>588</v>
      </c>
      <c r="E91" s="210">
        <v>690</v>
      </c>
      <c r="F91" s="210">
        <v>624</v>
      </c>
      <c r="G91" s="210">
        <v>570</v>
      </c>
      <c r="H91" s="210">
        <v>633</v>
      </c>
      <c r="I91" s="210">
        <v>606</v>
      </c>
      <c r="J91" s="210">
        <v>645</v>
      </c>
      <c r="K91" s="210">
        <v>634</v>
      </c>
      <c r="L91" s="210">
        <v>663</v>
      </c>
      <c r="M91" s="210">
        <v>616</v>
      </c>
      <c r="N91" s="67">
        <v>7593</v>
      </c>
    </row>
    <row r="92" spans="1:14">
      <c r="A92" s="209" t="s">
        <v>292</v>
      </c>
      <c r="B92" s="210">
        <v>4004.63</v>
      </c>
      <c r="C92" s="210">
        <v>4472.2700000000004</v>
      </c>
      <c r="D92" s="210">
        <v>3906.05</v>
      </c>
      <c r="E92" s="210">
        <v>4635.38</v>
      </c>
      <c r="F92" s="210">
        <v>4033.6499999999996</v>
      </c>
      <c r="G92" s="210">
        <v>3390.28</v>
      </c>
      <c r="H92" s="210">
        <v>4299.25</v>
      </c>
      <c r="I92" s="210">
        <v>4223.6000000000004</v>
      </c>
      <c r="J92" s="210">
        <v>4419.12</v>
      </c>
      <c r="K92" s="210">
        <v>4375.05</v>
      </c>
      <c r="L92" s="210">
        <v>4671.7700000000004</v>
      </c>
      <c r="M92" s="210">
        <v>4268.5</v>
      </c>
      <c r="N92" s="67">
        <v>50699.55</v>
      </c>
    </row>
    <row r="93" spans="1:14">
      <c r="A93" s="49" t="s">
        <v>109</v>
      </c>
      <c r="B93" s="211">
        <v>4638.63</v>
      </c>
      <c r="C93" s="211">
        <v>5162.2700000000004</v>
      </c>
      <c r="D93" s="211">
        <v>4494.05</v>
      </c>
      <c r="E93" s="211">
        <v>5325.38</v>
      </c>
      <c r="F93" s="211">
        <v>4657.6499999999996</v>
      </c>
      <c r="G93" s="211">
        <v>3960.28</v>
      </c>
      <c r="H93" s="211">
        <v>4932.25</v>
      </c>
      <c r="I93" s="211">
        <v>4829.6000000000004</v>
      </c>
      <c r="J93" s="211">
        <v>5064.12</v>
      </c>
      <c r="K93" s="211">
        <v>5009.05</v>
      </c>
      <c r="L93" s="211">
        <v>5334.77</v>
      </c>
      <c r="M93" s="211">
        <v>4884.5</v>
      </c>
      <c r="N93" s="84">
        <v>58292.55</v>
      </c>
    </row>
    <row r="94" spans="1:14" ht="6" customHeight="1">
      <c r="A94" s="64"/>
      <c r="B94" s="65"/>
      <c r="C94" s="65"/>
      <c r="D94" s="65"/>
      <c r="E94" s="65"/>
      <c r="F94" s="65"/>
      <c r="G94" s="65"/>
      <c r="H94" s="65"/>
      <c r="I94" s="65"/>
      <c r="J94" s="65"/>
      <c r="K94" s="65"/>
      <c r="L94" s="65"/>
      <c r="M94" s="65"/>
      <c r="N94" s="66"/>
    </row>
    <row r="95" spans="1:14">
      <c r="A95" s="208" t="s">
        <v>285</v>
      </c>
      <c r="B95" s="69">
        <v>14252</v>
      </c>
      <c r="C95" s="69">
        <v>15404</v>
      </c>
      <c r="D95" s="69">
        <v>13154</v>
      </c>
      <c r="E95" s="69">
        <v>15133</v>
      </c>
      <c r="F95" s="69">
        <v>13908</v>
      </c>
      <c r="G95" s="69">
        <v>12670</v>
      </c>
      <c r="H95" s="69">
        <v>14043</v>
      </c>
      <c r="I95" s="69">
        <v>13488</v>
      </c>
      <c r="J95" s="69">
        <v>14348</v>
      </c>
      <c r="K95" s="69">
        <v>13890</v>
      </c>
      <c r="L95" s="69">
        <v>14694</v>
      </c>
      <c r="M95" s="69">
        <v>14000</v>
      </c>
      <c r="N95" s="67">
        <v>168984</v>
      </c>
    </row>
    <row r="96" spans="1:14">
      <c r="A96" s="208" t="s">
        <v>286</v>
      </c>
      <c r="B96" s="69">
        <v>90445</v>
      </c>
      <c r="C96" s="69">
        <v>98775</v>
      </c>
      <c r="D96" s="69">
        <v>87058</v>
      </c>
      <c r="E96" s="69">
        <v>102157</v>
      </c>
      <c r="F96" s="69">
        <v>89427</v>
      </c>
      <c r="G96" s="69">
        <v>76514</v>
      </c>
      <c r="H96" s="69">
        <v>98092</v>
      </c>
      <c r="I96" s="69">
        <v>92738</v>
      </c>
      <c r="J96" s="69">
        <v>100007</v>
      </c>
      <c r="K96" s="69">
        <v>100093</v>
      </c>
      <c r="L96" s="69">
        <v>107067</v>
      </c>
      <c r="M96" s="69">
        <v>96928</v>
      </c>
      <c r="N96" s="67">
        <v>1139301</v>
      </c>
    </row>
    <row r="97" spans="1:14">
      <c r="A97" s="49" t="s">
        <v>46</v>
      </c>
      <c r="B97" s="68">
        <v>104697</v>
      </c>
      <c r="C97" s="68">
        <v>114179</v>
      </c>
      <c r="D97" s="68">
        <v>100212</v>
      </c>
      <c r="E97" s="68">
        <v>117290</v>
      </c>
      <c r="F97" s="68">
        <v>103335</v>
      </c>
      <c r="G97" s="68">
        <v>89184</v>
      </c>
      <c r="H97" s="68">
        <v>112135</v>
      </c>
      <c r="I97" s="68">
        <v>106226</v>
      </c>
      <c r="J97" s="68">
        <v>114355</v>
      </c>
      <c r="K97" s="68">
        <v>113983</v>
      </c>
      <c r="L97" s="68">
        <v>121761</v>
      </c>
      <c r="M97" s="68">
        <v>110928</v>
      </c>
      <c r="N97" s="84">
        <v>1308285</v>
      </c>
    </row>
    <row r="98" spans="1:14">
      <c r="A98" s="208" t="s">
        <v>287</v>
      </c>
      <c r="B98" s="67">
        <v>11468</v>
      </c>
      <c r="C98" s="67">
        <v>12477</v>
      </c>
      <c r="D98" s="67">
        <v>10711</v>
      </c>
      <c r="E98" s="67">
        <v>12507</v>
      </c>
      <c r="F98" s="67">
        <v>11371</v>
      </c>
      <c r="G98" s="67">
        <v>10293</v>
      </c>
      <c r="H98" s="67">
        <v>11441</v>
      </c>
      <c r="I98" s="67">
        <v>10911</v>
      </c>
      <c r="J98" s="67">
        <v>11610</v>
      </c>
      <c r="K98" s="67">
        <v>11367</v>
      </c>
      <c r="L98" s="67">
        <v>12005</v>
      </c>
      <c r="M98" s="67">
        <v>11181</v>
      </c>
      <c r="N98" s="67">
        <v>137342</v>
      </c>
    </row>
    <row r="99" spans="1:14">
      <c r="A99" s="208" t="s">
        <v>288</v>
      </c>
      <c r="B99" s="67">
        <v>74928</v>
      </c>
      <c r="C99" s="67">
        <v>83181</v>
      </c>
      <c r="D99" s="67">
        <v>71419</v>
      </c>
      <c r="E99" s="67">
        <v>84714</v>
      </c>
      <c r="F99" s="67">
        <v>73467</v>
      </c>
      <c r="G99" s="67">
        <v>60313</v>
      </c>
      <c r="H99" s="67">
        <v>78425</v>
      </c>
      <c r="I99" s="67">
        <v>75511</v>
      </c>
      <c r="J99" s="67">
        <v>80000</v>
      </c>
      <c r="K99" s="67">
        <v>79261</v>
      </c>
      <c r="L99" s="67">
        <v>83809</v>
      </c>
      <c r="M99" s="67">
        <v>76157</v>
      </c>
      <c r="N99" s="67">
        <v>921185</v>
      </c>
    </row>
    <row r="100" spans="1:14">
      <c r="A100" s="49" t="s">
        <v>47</v>
      </c>
      <c r="B100" s="68">
        <v>86396</v>
      </c>
      <c r="C100" s="68">
        <v>95658</v>
      </c>
      <c r="D100" s="68">
        <v>82130</v>
      </c>
      <c r="E100" s="68">
        <v>97221</v>
      </c>
      <c r="F100" s="68">
        <v>84838</v>
      </c>
      <c r="G100" s="68">
        <v>70606</v>
      </c>
      <c r="H100" s="68">
        <v>89866</v>
      </c>
      <c r="I100" s="68">
        <v>86422</v>
      </c>
      <c r="J100" s="68">
        <v>91610</v>
      </c>
      <c r="K100" s="68">
        <v>90628</v>
      </c>
      <c r="L100" s="68">
        <v>95814</v>
      </c>
      <c r="M100" s="68">
        <v>87338</v>
      </c>
      <c r="N100" s="84">
        <v>1058527</v>
      </c>
    </row>
    <row r="101" spans="1:14">
      <c r="A101" s="208" t="s">
        <v>147</v>
      </c>
      <c r="B101" s="507">
        <v>105386</v>
      </c>
      <c r="C101" s="507">
        <v>116235</v>
      </c>
      <c r="D101" s="507">
        <v>101675</v>
      </c>
      <c r="E101" s="507">
        <v>118871</v>
      </c>
      <c r="F101" s="507">
        <v>105834</v>
      </c>
      <c r="G101" s="507">
        <v>89753</v>
      </c>
      <c r="H101" s="507">
        <v>113071</v>
      </c>
      <c r="I101" s="507">
        <v>106965</v>
      </c>
      <c r="J101" s="507">
        <v>116504</v>
      </c>
      <c r="K101" s="507">
        <v>114994</v>
      </c>
      <c r="L101" s="507">
        <v>123293</v>
      </c>
      <c r="M101" s="507">
        <v>113590</v>
      </c>
      <c r="N101" s="68">
        <v>1326171</v>
      </c>
    </row>
    <row r="102" spans="1:14" ht="6" customHeight="1">
      <c r="A102" s="64"/>
      <c r="B102" s="65"/>
      <c r="C102" s="65"/>
      <c r="D102" s="65"/>
      <c r="E102" s="65"/>
      <c r="F102" s="65"/>
      <c r="G102" s="65"/>
      <c r="H102" s="65"/>
      <c r="I102" s="65"/>
      <c r="J102" s="65"/>
      <c r="K102" s="65"/>
      <c r="L102" s="65"/>
      <c r="M102" s="65"/>
      <c r="N102" s="66"/>
    </row>
    <row r="103" spans="1:14">
      <c r="A103" s="208" t="s">
        <v>11</v>
      </c>
      <c r="B103" s="515">
        <v>0.879</v>
      </c>
      <c r="C103" s="515">
        <v>0.85389999999999999</v>
      </c>
      <c r="D103" s="515">
        <v>0.86529999999999996</v>
      </c>
      <c r="E103" s="515">
        <v>0.89159999999999995</v>
      </c>
      <c r="F103" s="515">
        <v>0.90600000000000003</v>
      </c>
      <c r="G103" s="515">
        <v>0.90859999999999996</v>
      </c>
      <c r="H103" s="515">
        <v>0.9163</v>
      </c>
      <c r="I103" s="515">
        <v>0.93010000000000004</v>
      </c>
      <c r="J103" s="515">
        <v>0.93079999999999996</v>
      </c>
      <c r="K103" s="515">
        <v>0.93600000000000005</v>
      </c>
      <c r="L103" s="515">
        <v>0.94130000000000003</v>
      </c>
      <c r="M103" s="515">
        <v>0.94840000000000002</v>
      </c>
      <c r="N103" s="516">
        <v>0.90894166666666665</v>
      </c>
    </row>
    <row r="104" spans="1:14" ht="6" customHeight="1">
      <c r="A104" s="64"/>
      <c r="B104" s="65"/>
      <c r="C104" s="65"/>
      <c r="D104" s="65"/>
      <c r="E104" s="65"/>
      <c r="F104" s="65"/>
      <c r="G104" s="65"/>
      <c r="H104" s="65"/>
      <c r="I104" s="65"/>
      <c r="J104" s="65"/>
      <c r="K104" s="65"/>
      <c r="L104" s="65"/>
      <c r="M104" s="65"/>
      <c r="N104" s="66"/>
    </row>
  </sheetData>
  <phoneticPr fontId="20" type="noConversion"/>
  <printOptions horizontalCentered="1" verticalCentered="1"/>
  <pageMargins left="0.25" right="0.25" top="0.5" bottom="0.5" header="0.25" footer="0.25"/>
  <pageSetup scale="77" orientation="landscape" r:id="rId1"/>
  <headerFooter alignWithMargins="0">
    <oddFooter>&amp;R&amp;D</oddFooter>
  </headerFooter>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zoomScaleNormal="100" workbookViewId="0">
      <selection activeCell="E10" sqref="E10"/>
    </sheetView>
  </sheetViews>
  <sheetFormatPr defaultColWidth="9.109375" defaultRowHeight="15.6"/>
  <cols>
    <col min="1" max="1" width="55.33203125" style="722" bestFit="1" customWidth="1"/>
    <col min="2" max="2" width="48" style="722" bestFit="1" customWidth="1"/>
    <col min="3" max="14" width="10.44140625" style="856" customWidth="1"/>
    <col min="15" max="15" width="11.5546875" style="856" bestFit="1" customWidth="1"/>
    <col min="16" max="16384" width="9.109375" style="722"/>
  </cols>
  <sheetData>
    <row r="1" spans="1:15" ht="17.399999999999999">
      <c r="A1" s="862" t="s">
        <v>52</v>
      </c>
      <c r="B1" s="862" t="s">
        <v>487</v>
      </c>
      <c r="C1" s="892" t="s">
        <v>8</v>
      </c>
      <c r="D1" s="892" t="s">
        <v>78</v>
      </c>
      <c r="E1" s="892" t="s">
        <v>79</v>
      </c>
      <c r="F1" s="892" t="s">
        <v>80</v>
      </c>
      <c r="G1" s="892" t="s">
        <v>81</v>
      </c>
      <c r="H1" s="892" t="s">
        <v>82</v>
      </c>
      <c r="I1" s="892" t="s">
        <v>83</v>
      </c>
      <c r="J1" s="892" t="s">
        <v>84</v>
      </c>
      <c r="K1" s="892" t="s">
        <v>85</v>
      </c>
      <c r="L1" s="892" t="s">
        <v>4</v>
      </c>
      <c r="M1" s="892" t="s">
        <v>5</v>
      </c>
      <c r="N1" s="892" t="s">
        <v>6</v>
      </c>
      <c r="O1" s="892" t="s">
        <v>30</v>
      </c>
    </row>
    <row r="2" spans="1:15">
      <c r="A2" s="863" t="s">
        <v>53</v>
      </c>
      <c r="B2" s="864" t="s">
        <v>54</v>
      </c>
      <c r="C2" s="865">
        <f>SystemOverview!B45/ServiceAssessment!$B$34</f>
        <v>189.08980213089802</v>
      </c>
      <c r="D2" s="859">
        <f>SystemOverview!C45/ServiceAssessment!$B$34</f>
        <v>194.47488584474885</v>
      </c>
      <c r="E2" s="859">
        <f>SystemOverview!D45/ServiceAssessment!$B$34</f>
        <v>177.07458143074581</v>
      </c>
      <c r="F2" s="859">
        <f>SystemOverview!E45/ServiceAssessment!$B$34</f>
        <v>200.14611872146119</v>
      </c>
      <c r="G2" s="859">
        <f>SystemOverview!F45/ServiceAssessment!$B$34</f>
        <v>165.0958904109589</v>
      </c>
      <c r="H2" s="859">
        <f>SystemOverview!G45/ServiceAssessment!$B$34</f>
        <v>165.19330289193303</v>
      </c>
      <c r="I2" s="859">
        <f>SystemOverview!H45/ServiceAssessment!$B$34</f>
        <v>0</v>
      </c>
      <c r="J2" s="859">
        <f>SystemOverview!I45/ServiceAssessment!$B$34</f>
        <v>0</v>
      </c>
      <c r="K2" s="859">
        <f>SystemOverview!J45/ServiceAssessment!$B$34</f>
        <v>0</v>
      </c>
      <c r="L2" s="859">
        <f>SystemOverview!K45/ServiceAssessment!$B$34</f>
        <v>0</v>
      </c>
      <c r="M2" s="859">
        <f>SystemOverview!L45/ServiceAssessment!$B$34</f>
        <v>0</v>
      </c>
      <c r="N2" s="859">
        <f>SystemOverview!M45/ServiceAssessment!$B$34</f>
        <v>0</v>
      </c>
      <c r="O2" s="859">
        <f>SystemOverview!N45/ServiceAssessment!$B$34</f>
        <v>1091.0745814307459</v>
      </c>
    </row>
    <row r="3" spans="1:15">
      <c r="A3" s="866"/>
      <c r="B3" s="867" t="s">
        <v>55</v>
      </c>
      <c r="C3" s="865">
        <f>SystemOverview!B45/ServiceAssessment!$B$35</f>
        <v>0.50183595564622008</v>
      </c>
      <c r="D3" s="859">
        <f>SystemOverview!C45/ServiceAssessment!$B$35</f>
        <v>0.51612772919149275</v>
      </c>
      <c r="E3" s="859">
        <f>SystemOverview!D45/ServiceAssessment!$B$35</f>
        <v>0.46994809234311569</v>
      </c>
      <c r="F3" s="859">
        <f>SystemOverview!E45/ServiceAssessment!$B$35</f>
        <v>0.53117892993476201</v>
      </c>
      <c r="G3" s="859">
        <f>SystemOverview!F45/ServiceAssessment!$B$35</f>
        <v>0.438157177192947</v>
      </c>
      <c r="H3" s="859">
        <f>SystemOverview!G45/ServiceAssessment!$B$35</f>
        <v>0.43841570560077558</v>
      </c>
      <c r="I3" s="859">
        <f>SystemOverview!H45/ServiceAssessment!$B$35</f>
        <v>0</v>
      </c>
      <c r="J3" s="859">
        <f>SystemOverview!I45/ServiceAssessment!$B$35</f>
        <v>0</v>
      </c>
      <c r="K3" s="859">
        <f>SystemOverview!J45/ServiceAssessment!$B$35</f>
        <v>0</v>
      </c>
      <c r="L3" s="859">
        <f>SystemOverview!K45/ServiceAssessment!$B$35</f>
        <v>0</v>
      </c>
      <c r="M3" s="859">
        <f>SystemOverview!L45/ServiceAssessment!$B$35</f>
        <v>0</v>
      </c>
      <c r="N3" s="859">
        <f>SystemOverview!M45/ServiceAssessment!$B$35</f>
        <v>0</v>
      </c>
      <c r="O3" s="859">
        <f>SystemOverview!N45/ServiceAssessment!$B$35</f>
        <v>2.8956635899093133</v>
      </c>
    </row>
    <row r="4" spans="1:15">
      <c r="A4" s="868"/>
      <c r="B4" s="867" t="s">
        <v>184</v>
      </c>
      <c r="C4" s="865">
        <f t="shared" ref="C4:M4" si="0">IFERROR((C6+C12),0)</f>
        <v>732.83695652173913</v>
      </c>
      <c r="D4" s="865">
        <f t="shared" si="0"/>
        <v>776.4545454545455</v>
      </c>
      <c r="E4" s="865">
        <f t="shared" si="0"/>
        <v>765.35714285714289</v>
      </c>
      <c r="F4" s="865">
        <f t="shared" si="0"/>
        <v>772.48913043478262</v>
      </c>
      <c r="G4" s="865">
        <f t="shared" si="0"/>
        <v>716.25</v>
      </c>
      <c r="H4" s="865">
        <f t="shared" si="0"/>
        <v>694.28361904761903</v>
      </c>
      <c r="I4" s="865">
        <f t="shared" si="0"/>
        <v>0</v>
      </c>
      <c r="J4" s="865">
        <f t="shared" si="0"/>
        <v>0</v>
      </c>
      <c r="K4" s="865">
        <f t="shared" si="0"/>
        <v>0</v>
      </c>
      <c r="L4" s="865">
        <f t="shared" si="0"/>
        <v>0</v>
      </c>
      <c r="M4" s="865">
        <f t="shared" si="0"/>
        <v>0</v>
      </c>
      <c r="N4" s="865">
        <v>0</v>
      </c>
      <c r="O4" s="865">
        <f>IFERROR((O6+O12),0)</f>
        <v>743.04004615384622</v>
      </c>
    </row>
    <row r="5" spans="1:15">
      <c r="A5" s="863" t="s">
        <v>71</v>
      </c>
      <c r="B5" s="864" t="s">
        <v>89</v>
      </c>
      <c r="C5" s="859">
        <f>IFERROR((SystemOverview!B23/'OpStatTotals(AllServices)'!C21),0)</f>
        <v>522.304347826087</v>
      </c>
      <c r="D5" s="859">
        <f>IFERROR((SystemOverview!C23/'OpStatTotals(AllServices)'!D21),0)</f>
        <v>486.59090909090907</v>
      </c>
      <c r="E5" s="859">
        <f>IFERROR((SystemOverview!D23/'OpStatTotals(AllServices)'!E21),0)</f>
        <v>503.38095238095241</v>
      </c>
      <c r="F5" s="859">
        <f>IFERROR((SystemOverview!E23/'OpStatTotals(AllServices)'!F21),0)</f>
        <v>561.86956521739125</v>
      </c>
      <c r="G5" s="859">
        <f>IFERROR((SystemOverview!F23/'OpStatTotals(AllServices)'!G21),0)</f>
        <v>495.9</v>
      </c>
      <c r="H5" s="859">
        <f>IFERROR((SystemOverview!G23/'OpStatTotals(AllServices)'!H21),0)</f>
        <v>427.28571428571428</v>
      </c>
      <c r="I5" s="859">
        <f>IFERROR((SystemOverview!H23/'OpStatTotals(AllServices)'!I21),0)</f>
        <v>0</v>
      </c>
      <c r="J5" s="859">
        <f>IFERROR((SystemOverview!I23/'OpStatTotals(AllServices)'!J21),0)</f>
        <v>0</v>
      </c>
      <c r="K5" s="859">
        <f>IFERROR((SystemOverview!J23/'OpStatTotals(AllServices)'!K21),0)</f>
        <v>0</v>
      </c>
      <c r="L5" s="859">
        <f>IFERROR((SystemOverview!K23/'OpStatTotals(AllServices)'!L21),0)</f>
        <v>0</v>
      </c>
      <c r="M5" s="859">
        <f>IFERROR((SystemOverview!L23/'OpStatTotals(AllServices)'!M21),0)</f>
        <v>0</v>
      </c>
      <c r="N5" s="859">
        <f>IFERROR((SystemOverview!M23/'OpStatTotals(AllServices)'!N21),0)</f>
        <v>0</v>
      </c>
      <c r="O5" s="859">
        <f>IFERROR((SystemOverview!N23/'OpStatTotals(AllServices)'!S21),0)</f>
        <v>500.7923076923077</v>
      </c>
    </row>
    <row r="6" spans="1:15" s="858" customFormat="1">
      <c r="A6" s="869"/>
      <c r="B6" s="870" t="s">
        <v>171</v>
      </c>
      <c r="C6" s="860">
        <f>IFERROR(('OpStatTotals(AllServices)'!C28/'OpStatTotals(AllServices)'!C21),0)</f>
        <v>561.08695652173913</v>
      </c>
      <c r="D6" s="860">
        <f>IFERROR(('OpStatTotals(AllServices)'!D28/'OpStatTotals(AllServices)'!D21),0)</f>
        <v>607.4545454545455</v>
      </c>
      <c r="E6" s="860">
        <f>IFERROR(('OpStatTotals(AllServices)'!E28/'OpStatTotals(AllServices)'!E21),0)</f>
        <v>581.85714285714289</v>
      </c>
      <c r="F6" s="860">
        <f>IFERROR(('OpStatTotals(AllServices)'!F28/'OpStatTotals(AllServices)'!F21),0)</f>
        <v>617.73913043478262</v>
      </c>
      <c r="G6" s="860">
        <f>IFERROR(('OpStatTotals(AllServices)'!G28/'OpStatTotals(AllServices)'!G21),0)</f>
        <v>572.65</v>
      </c>
      <c r="H6" s="860">
        <f>IFERROR(('OpStatTotals(AllServices)'!H28/'OpStatTotals(AllServices)'!H21),0)</f>
        <v>545.53361904761903</v>
      </c>
      <c r="I6" s="860">
        <f>IFERROR(('OpStatTotals(AllServices)'!I28/'OpStatTotals(AllServices)'!I21),0)</f>
        <v>0</v>
      </c>
      <c r="J6" s="860">
        <f>IFERROR(('OpStatTotals(AllServices)'!J28/'OpStatTotals(AllServices)'!J21),0)</f>
        <v>0</v>
      </c>
      <c r="K6" s="860">
        <f>IFERROR(('OpStatTotals(AllServices)'!K28/'OpStatTotals(AllServices)'!K21),0)</f>
        <v>0</v>
      </c>
      <c r="L6" s="860">
        <f>IFERROR(('OpStatTotals(AllServices)'!L28/'OpStatTotals(AllServices)'!L21),0)</f>
        <v>0</v>
      </c>
      <c r="M6" s="860">
        <f>IFERROR(('OpStatTotals(AllServices)'!M28/'OpStatTotals(AllServices)'!M21),0)</f>
        <v>0</v>
      </c>
      <c r="N6" s="860">
        <f>IFERROR(('OpStatTotals(AllServices)'!N28/'OpStatTotals(AllServices)'!N21),0)</f>
        <v>0</v>
      </c>
      <c r="O6" s="860">
        <f>IFERROR(('OpStatTotals(AllServices)'!S28/'OpStatTotals(AllServices)'!S21),0)</f>
        <v>581.57850769230777</v>
      </c>
    </row>
    <row r="7" spans="1:15" s="858" customFormat="1">
      <c r="A7" s="871"/>
      <c r="B7" s="872" t="s">
        <v>73</v>
      </c>
      <c r="C7" s="860">
        <f>IFERROR(('OpStatTotals(AllServices)'!C23/'OpStatTotals(AllServices)'!C21),0)</f>
        <v>294.55739130434779</v>
      </c>
      <c r="D7" s="860">
        <f>IFERROR(('OpStatTotals(AllServices)'!D23/'OpStatTotals(AllServices)'!D21),0)</f>
        <v>307.32181818181817</v>
      </c>
      <c r="E7" s="860">
        <f>IFERROR(('OpStatTotals(AllServices)'!E23/'OpStatTotals(AllServices)'!E21),0)</f>
        <v>290.25952380952378</v>
      </c>
      <c r="F7" s="860">
        <f>IFERROR(('OpStatTotals(AllServices)'!F23/'OpStatTotals(AllServices)'!F21),0)</f>
        <v>302.7217391304348</v>
      </c>
      <c r="G7" s="860">
        <f>IFERROR(('OpStatTotals(AllServices)'!G23/'OpStatTotals(AllServices)'!G21),0)</f>
        <v>288.97899999999998</v>
      </c>
      <c r="H7" s="860">
        <f>IFERROR(('OpStatTotals(AllServices)'!H23/'OpStatTotals(AllServices)'!H21),0)</f>
        <v>279.00142857142856</v>
      </c>
      <c r="I7" s="860">
        <f>IFERROR(('OpStatTotals(AllServices)'!I23/'OpStatTotals(AllServices)'!I21),0)</f>
        <v>0</v>
      </c>
      <c r="J7" s="860">
        <f>IFERROR(('OpStatTotals(AllServices)'!J23/'OpStatTotals(AllServices)'!J21),0)</f>
        <v>0</v>
      </c>
      <c r="K7" s="860">
        <f>IFERROR(('OpStatTotals(AllServices)'!K23/'OpStatTotals(AllServices)'!K21),0)</f>
        <v>0</v>
      </c>
      <c r="L7" s="860">
        <f>IFERROR(('OpStatTotals(AllServices)'!L23/'OpStatTotals(AllServices)'!L21),0)</f>
        <v>0</v>
      </c>
      <c r="M7" s="860">
        <f>IFERROR(('OpStatTotals(AllServices)'!M23/'OpStatTotals(AllServices)'!M21),0)</f>
        <v>0</v>
      </c>
      <c r="N7" s="860">
        <f>IFERROR(('OpStatTotals(AllServices)'!N23/'OpStatTotals(AllServices)'!N21),0)</f>
        <v>0</v>
      </c>
      <c r="O7" s="860">
        <f>IFERROR(('OpStatTotals(AllServices)'!S23/'OpStatTotals(AllServices)'!S21),0)</f>
        <v>294.09661538461535</v>
      </c>
    </row>
    <row r="8" spans="1:15" s="858" customFormat="1">
      <c r="A8" s="873"/>
      <c r="B8" s="872" t="s">
        <v>72</v>
      </c>
      <c r="C8" s="874">
        <f>IFERROR(('OpStatTotals(AllServices)'!C24/'OpStatTotals(AllServices)'!C21),0)</f>
        <v>5058.347826086957</v>
      </c>
      <c r="D8" s="874">
        <f>IFERROR(('OpStatTotals(AllServices)'!D24/'OpStatTotals(AllServices)'!D21),0)</f>
        <v>5350.318181818182</v>
      </c>
      <c r="E8" s="874">
        <f>IFERROR(('OpStatTotals(AllServices)'!E24/'OpStatTotals(AllServices)'!E21),0)</f>
        <v>5138.666666666667</v>
      </c>
      <c r="F8" s="874">
        <f>IFERROR(('OpStatTotals(AllServices)'!F24/'OpStatTotals(AllServices)'!F21),0)</f>
        <v>5400.608695652174</v>
      </c>
      <c r="G8" s="874">
        <f>IFERROR(('OpStatTotals(AllServices)'!G24/'OpStatTotals(AllServices)'!G21),0)</f>
        <v>4995.1499999999996</v>
      </c>
      <c r="H8" s="874">
        <f>IFERROR(('OpStatTotals(AllServices)'!H24/'OpStatTotals(AllServices)'!H21),0)</f>
        <v>4843.7619047619046</v>
      </c>
      <c r="I8" s="874">
        <f>IFERROR(('OpStatTotals(AllServices)'!I24/'OpStatTotals(AllServices)'!I21),0)</f>
        <v>0</v>
      </c>
      <c r="J8" s="874">
        <f>IFERROR(('OpStatTotals(AllServices)'!J24/'OpStatTotals(AllServices)'!J21),0)</f>
        <v>0</v>
      </c>
      <c r="K8" s="874">
        <f>IFERROR(('OpStatTotals(AllServices)'!K24/'OpStatTotals(AllServices)'!K21),0)</f>
        <v>0</v>
      </c>
      <c r="L8" s="874">
        <f>IFERROR(('OpStatTotals(AllServices)'!L24/'OpStatTotals(AllServices)'!L21),0)</f>
        <v>0</v>
      </c>
      <c r="M8" s="874">
        <f>IFERROR(('OpStatTotals(AllServices)'!M24/'OpStatTotals(AllServices)'!M21),0)</f>
        <v>0</v>
      </c>
      <c r="N8" s="874">
        <f>IFERROR(('OpStatTotals(AllServices)'!N24/'OpStatTotals(AllServices)'!N21),0)</f>
        <v>0</v>
      </c>
      <c r="O8" s="874">
        <f>IFERROR(('OpStatTotals(AllServices)'!S24/'OpStatTotals(AllServices)'!S21),0)</f>
        <v>5136.8999999999996</v>
      </c>
    </row>
    <row r="9" spans="1:15">
      <c r="A9" s="875"/>
      <c r="B9" s="872" t="s">
        <v>103</v>
      </c>
      <c r="C9" s="874"/>
      <c r="D9" s="860"/>
      <c r="E9" s="860"/>
      <c r="F9" s="860"/>
      <c r="G9" s="860"/>
      <c r="H9" s="860"/>
      <c r="I9" s="860"/>
      <c r="J9" s="860"/>
      <c r="K9" s="860"/>
      <c r="L9" s="860"/>
      <c r="M9" s="860"/>
      <c r="N9" s="860"/>
      <c r="O9" s="859" t="s">
        <v>104</v>
      </c>
    </row>
    <row r="10" spans="1:15">
      <c r="A10" s="868"/>
      <c r="B10" s="872" t="s">
        <v>102</v>
      </c>
      <c r="C10" s="860"/>
      <c r="D10" s="860"/>
      <c r="E10" s="860"/>
      <c r="F10" s="860"/>
      <c r="G10" s="860"/>
      <c r="H10" s="860"/>
      <c r="I10" s="860"/>
      <c r="J10" s="860"/>
      <c r="K10" s="860"/>
      <c r="L10" s="860"/>
      <c r="M10" s="860"/>
      <c r="N10" s="860"/>
      <c r="O10" s="859" t="s">
        <v>105</v>
      </c>
    </row>
    <row r="11" spans="1:15">
      <c r="A11" s="876" t="s">
        <v>70</v>
      </c>
      <c r="B11" s="870" t="s">
        <v>90</v>
      </c>
      <c r="C11" s="859">
        <f>IFERROR((SystemOverview!B24/'OpStatTotals(AllServices)'!C33),0)</f>
        <v>151</v>
      </c>
      <c r="D11" s="859">
        <f>IFERROR((SystemOverview!C24/'OpStatTotals(AllServices)'!D33),0)</f>
        <v>30</v>
      </c>
      <c r="E11" s="859">
        <f>IFERROR((SystemOverview!D24/'OpStatTotals(AllServices)'!E33),0)</f>
        <v>173.25</v>
      </c>
      <c r="F11" s="859">
        <f>IFERROR((SystemOverview!E24/'OpStatTotals(AllServices)'!F33),0)</f>
        <v>178.5</v>
      </c>
      <c r="G11" s="859">
        <f>IFERROR((SystemOverview!F24/'OpStatTotals(AllServices)'!G33),0)</f>
        <v>29.2</v>
      </c>
      <c r="H11" s="859">
        <f>IFERROR((SystemOverview!G24/'OpStatTotals(AllServices)'!H33),0)</f>
        <v>45.25</v>
      </c>
      <c r="I11" s="859">
        <f>IFERROR((SystemOverview!H24/'OpStatTotals(AllServices)'!I33),0)</f>
        <v>0</v>
      </c>
      <c r="J11" s="859">
        <f>IFERROR((SystemOverview!I24/'OpStatTotals(AllServices)'!J33),0)</f>
        <v>0</v>
      </c>
      <c r="K11" s="859">
        <f>IFERROR((SystemOverview!J24/'OpStatTotals(AllServices)'!K33),0)</f>
        <v>0</v>
      </c>
      <c r="L11" s="859">
        <f>IFERROR((SystemOverview!K24/'OpStatTotals(AllServices)'!L33),0)</f>
        <v>0</v>
      </c>
      <c r="M11" s="859">
        <f>IFERROR((SystemOverview!L24/'OpStatTotals(AllServices)'!M33),0)</f>
        <v>0</v>
      </c>
      <c r="N11" s="859">
        <f>IFERROR((SystemOverview!M24/'OpStatTotals(AllServices)'!N33),0)</f>
        <v>0</v>
      </c>
      <c r="O11" s="859">
        <f>IFERROR((SystemOverview!N24/'OpStatTotals(AllServices)'!S33),0)</f>
        <v>95.692307692307693</v>
      </c>
    </row>
    <row r="12" spans="1:15" s="858" customFormat="1">
      <c r="A12" s="869"/>
      <c r="B12" s="872" t="s">
        <v>172</v>
      </c>
      <c r="C12" s="860">
        <f>IFERROR(('OpStatTotals(AllServices)'!C40/'OpStatTotals(AllServices)'!C33),0)</f>
        <v>171.75</v>
      </c>
      <c r="D12" s="860">
        <f>IFERROR(('OpStatTotals(AllServices)'!D40/'OpStatTotals(AllServices)'!D33),0)</f>
        <v>169</v>
      </c>
      <c r="E12" s="860">
        <f>IFERROR(('OpStatTotals(AllServices)'!E40/'OpStatTotals(AllServices)'!E33),0)</f>
        <v>183.5</v>
      </c>
      <c r="F12" s="860">
        <f>IFERROR(('OpStatTotals(AllServices)'!F40/'OpStatTotals(AllServices)'!F33),0)</f>
        <v>154.75</v>
      </c>
      <c r="G12" s="860">
        <f>IFERROR(('OpStatTotals(AllServices)'!G40/'OpStatTotals(AllServices)'!G33),0)</f>
        <v>143.6</v>
      </c>
      <c r="H12" s="860">
        <f>IFERROR(('OpStatTotals(AllServices)'!H40/'OpStatTotals(AllServices)'!H33),0)</f>
        <v>148.75</v>
      </c>
      <c r="I12" s="860">
        <f>IFERROR(('OpStatTotals(AllServices)'!I40/'OpStatTotals(AllServices)'!I33),0)</f>
        <v>0</v>
      </c>
      <c r="J12" s="860">
        <f>IFERROR(('OpStatTotals(AllServices)'!J40/'OpStatTotals(AllServices)'!J33),0)</f>
        <v>0</v>
      </c>
      <c r="K12" s="860">
        <f>IFERROR(('OpStatTotals(AllServices)'!K40/'OpStatTotals(AllServices)'!K33),0)</f>
        <v>0</v>
      </c>
      <c r="L12" s="860">
        <f>IFERROR(('OpStatTotals(AllServices)'!L40/'OpStatTotals(AllServices)'!L33),0)</f>
        <v>0</v>
      </c>
      <c r="M12" s="860">
        <f>IFERROR(('OpStatTotals(AllServices)'!M40/'OpStatTotals(AllServices)'!M33),0)</f>
        <v>0</v>
      </c>
      <c r="N12" s="860">
        <f>IFERROR(('OpStatTotals(AllServices)'!N40/'OpStatTotals(AllServices)'!N33),0)</f>
        <v>0</v>
      </c>
      <c r="O12" s="860">
        <f>IFERROR(('OpStatTotals(AllServices)'!S40/'OpStatTotals(AllServices)'!S33),0)</f>
        <v>161.46153846153845</v>
      </c>
    </row>
    <row r="13" spans="1:15" s="858" customFormat="1">
      <c r="A13" s="871"/>
      <c r="B13" s="872" t="s">
        <v>75</v>
      </c>
      <c r="C13" s="860">
        <f>IFERROR(('OpStatTotals(AllServices)'!C35/'OpStatTotals(AllServices)'!C33),0)</f>
        <v>107</v>
      </c>
      <c r="D13" s="860">
        <f>IFERROR(('OpStatTotals(AllServices)'!D35/'OpStatTotals(AllServices)'!D33),0)</f>
        <v>100.2</v>
      </c>
      <c r="E13" s="860">
        <f>IFERROR(('OpStatTotals(AllServices)'!E35/'OpStatTotals(AllServices)'!E33),0)</f>
        <v>98.75</v>
      </c>
      <c r="F13" s="860">
        <f>IFERROR(('OpStatTotals(AllServices)'!F35/'OpStatTotals(AllServices)'!F33),0)</f>
        <v>89.5</v>
      </c>
      <c r="G13" s="860">
        <f>IFERROR(('OpStatTotals(AllServices)'!G35/'OpStatTotals(AllServices)'!G33),0)</f>
        <v>83.8</v>
      </c>
      <c r="H13" s="860">
        <f>IFERROR(('OpStatTotals(AllServices)'!H35/'OpStatTotals(AllServices)'!H33),0)</f>
        <v>84.75</v>
      </c>
      <c r="I13" s="860">
        <f>IFERROR(('OpStatTotals(AllServices)'!I35/'OpStatTotals(AllServices)'!I33),0)</f>
        <v>0</v>
      </c>
      <c r="J13" s="860">
        <f>IFERROR(('OpStatTotals(AllServices)'!J35/'OpStatTotals(AllServices)'!J33),0)</f>
        <v>0</v>
      </c>
      <c r="K13" s="860">
        <f>IFERROR(('OpStatTotals(AllServices)'!K35/'OpStatTotals(AllServices)'!K33),0)</f>
        <v>0</v>
      </c>
      <c r="L13" s="860">
        <f>IFERROR(('OpStatTotals(AllServices)'!L35/'OpStatTotals(AllServices)'!L33),0)</f>
        <v>0</v>
      </c>
      <c r="M13" s="860">
        <f>IFERROR(('OpStatTotals(AllServices)'!M35/'OpStatTotals(AllServices)'!M33),0)</f>
        <v>0</v>
      </c>
      <c r="N13" s="860">
        <f>IFERROR(('OpStatTotals(AllServices)'!N35/'OpStatTotals(AllServices)'!N33),0)</f>
        <v>0</v>
      </c>
      <c r="O13" s="860">
        <f>IFERROR(('OpStatTotals(AllServices)'!S35/'OpStatTotals(AllServices)'!S33),0)</f>
        <v>93.84615384615384</v>
      </c>
    </row>
    <row r="14" spans="1:15" s="858" customFormat="1">
      <c r="A14" s="873"/>
      <c r="B14" s="872" t="s">
        <v>74</v>
      </c>
      <c r="C14" s="874">
        <f>IFERROR(('OpStatTotals(AllServices)'!C36/'OpStatTotals(AllServices)'!C33),0)</f>
        <v>1624.75</v>
      </c>
      <c r="D14" s="874">
        <f>IFERROR(('OpStatTotals(AllServices)'!D36/'OpStatTotals(AllServices)'!D33),0)</f>
        <v>1760.6</v>
      </c>
      <c r="E14" s="874">
        <f>IFERROR(('OpStatTotals(AllServices)'!E36/'OpStatTotals(AllServices)'!E33),0)</f>
        <v>1632.5</v>
      </c>
      <c r="F14" s="874">
        <f>IFERROR(('OpStatTotals(AllServices)'!F36/'OpStatTotals(AllServices)'!F33),0)</f>
        <v>1512.25</v>
      </c>
      <c r="G14" s="874">
        <f>IFERROR(('OpStatTotals(AllServices)'!G36/'OpStatTotals(AllServices)'!G33),0)</f>
        <v>1423.8</v>
      </c>
      <c r="H14" s="874">
        <f>IFERROR(('OpStatTotals(AllServices)'!H36/'OpStatTotals(AllServices)'!H33),0)</f>
        <v>1317.75</v>
      </c>
      <c r="I14" s="874">
        <f>IFERROR(('OpStatTotals(AllServices)'!I36/'OpStatTotals(AllServices)'!I33),0)</f>
        <v>0</v>
      </c>
      <c r="J14" s="874">
        <f>IFERROR(('OpStatTotals(AllServices)'!J36/'OpStatTotals(AllServices)'!J33),0)</f>
        <v>0</v>
      </c>
      <c r="K14" s="874">
        <f>IFERROR(('OpStatTotals(AllServices)'!K36/'OpStatTotals(AllServices)'!K33),0)</f>
        <v>0</v>
      </c>
      <c r="L14" s="874">
        <f>IFERROR(('OpStatTotals(AllServices)'!L36/'OpStatTotals(AllServices)'!L33),0)</f>
        <v>0</v>
      </c>
      <c r="M14" s="874">
        <f>IFERROR(('OpStatTotals(AllServices)'!M36/'OpStatTotals(AllServices)'!M33),0)</f>
        <v>0</v>
      </c>
      <c r="N14" s="874">
        <f>IFERROR(('OpStatTotals(AllServices)'!N36/'OpStatTotals(AllServices)'!N33),0)</f>
        <v>0</v>
      </c>
      <c r="O14" s="874">
        <f>IFERROR(('OpStatTotals(AllServices)'!S36/'OpStatTotals(AllServices)'!S33),0)</f>
        <v>1548.8846153846155</v>
      </c>
    </row>
    <row r="15" spans="1:15">
      <c r="A15" s="875"/>
      <c r="B15" s="872" t="s">
        <v>103</v>
      </c>
      <c r="C15" s="874"/>
      <c r="D15" s="860"/>
      <c r="E15" s="860"/>
      <c r="F15" s="860"/>
      <c r="G15" s="860"/>
      <c r="H15" s="860"/>
      <c r="I15" s="860"/>
      <c r="J15" s="860"/>
      <c r="K15" s="860"/>
      <c r="L15" s="860"/>
      <c r="M15" s="860"/>
      <c r="N15" s="860"/>
      <c r="O15" s="860" t="s">
        <v>106</v>
      </c>
    </row>
    <row r="16" spans="1:15">
      <c r="A16" s="868"/>
      <c r="B16" s="872" t="s">
        <v>102</v>
      </c>
      <c r="C16" s="860"/>
      <c r="D16" s="860"/>
      <c r="E16" s="860"/>
      <c r="F16" s="860"/>
      <c r="G16" s="860"/>
      <c r="H16" s="860"/>
      <c r="I16" s="860"/>
      <c r="J16" s="860"/>
      <c r="K16" s="860"/>
      <c r="L16" s="860"/>
      <c r="M16" s="860"/>
      <c r="N16" s="860"/>
      <c r="O16" s="860" t="s">
        <v>105</v>
      </c>
    </row>
    <row r="17" spans="1:15">
      <c r="A17" s="863" t="s">
        <v>56</v>
      </c>
      <c r="B17" s="870" t="s">
        <v>57</v>
      </c>
      <c r="C17" s="860">
        <f>IFERROR((SystemOverview!B45/SystemOverview!B48),0)</f>
        <v>1.2680098801722905</v>
      </c>
      <c r="D17" s="860">
        <f>IFERROR((SystemOverview!C45/SystemOverview!C48),0)</f>
        <v>1.2509300959467398</v>
      </c>
      <c r="E17" s="860">
        <f>IFERROR((SystemOverview!D45/SystemOverview!D48),0)</f>
        <v>1.2343554376657826</v>
      </c>
      <c r="F17" s="860">
        <f>IFERROR((SystemOverview!E45/SystemOverview!E48),0)</f>
        <v>1.232066561727007</v>
      </c>
      <c r="G17" s="860">
        <f>IFERROR((SystemOverview!F45/SystemOverview!F48),0)</f>
        <v>1.2617399699884839</v>
      </c>
      <c r="H17" s="860">
        <f>IFERROR((SystemOverview!G45/SystemOverview!G48),0)</f>
        <v>1.2540672952486596</v>
      </c>
      <c r="I17" s="860">
        <f>IFERROR((SystemOverview!H45/SystemOverview!H48),0)</f>
        <v>0</v>
      </c>
      <c r="J17" s="860">
        <f>IFERROR((SystemOverview!I45/SystemOverview!I48),0)</f>
        <v>0</v>
      </c>
      <c r="K17" s="860">
        <f>IFERROR((SystemOverview!J45/SystemOverview!J48),0)</f>
        <v>0</v>
      </c>
      <c r="L17" s="860">
        <f>IFERROR((SystemOverview!K45/SystemOverview!K48),0)</f>
        <v>0</v>
      </c>
      <c r="M17" s="860">
        <f>IFERROR((SystemOverview!L45/SystemOverview!L48),0)</f>
        <v>0</v>
      </c>
      <c r="N17" s="860">
        <f>IFERROR((SystemOverview!M45/SystemOverview!M48),0)</f>
        <v>0</v>
      </c>
      <c r="O17" s="860">
        <f>IFERROR((SystemOverview!N45/SystemOverview!N48),0)</f>
        <v>1.2497075503440533</v>
      </c>
    </row>
    <row r="18" spans="1:15">
      <c r="A18" s="868"/>
      <c r="B18" s="870" t="s">
        <v>189</v>
      </c>
      <c r="C18" s="860">
        <f>IFERROR((SystemOverview!B38/SystemOverview!B41),0)</f>
        <v>1.324067956583294</v>
      </c>
      <c r="D18" s="860">
        <f>IFERROR((SystemOverview!C38/SystemOverview!C41),0)</f>
        <v>1.2895092364045222</v>
      </c>
      <c r="E18" s="860">
        <f>IFERROR((SystemOverview!D38/SystemOverview!D41),0)</f>
        <v>1.2712632137746387</v>
      </c>
      <c r="F18" s="860">
        <f>IFERROR((SystemOverview!E38/SystemOverview!E41),0)</f>
        <v>1.2570704479903791</v>
      </c>
      <c r="G18" s="860">
        <f>IFERROR((SystemOverview!F38/SystemOverview!F41),0)</f>
        <v>1.3094859851950429</v>
      </c>
      <c r="H18" s="860">
        <f>IFERROR((SystemOverview!G38/SystemOverview!G41),0)</f>
        <v>1.3008591785847825</v>
      </c>
      <c r="I18" s="860">
        <f>IFERROR((SystemOverview!H38/SystemOverview!H41),0)</f>
        <v>0</v>
      </c>
      <c r="J18" s="860">
        <f>IFERROR((SystemOverview!I38/SystemOverview!I41),0)</f>
        <v>0</v>
      </c>
      <c r="K18" s="860">
        <f>IFERROR((SystemOverview!J38/SystemOverview!J41),0)</f>
        <v>0</v>
      </c>
      <c r="L18" s="860">
        <f>IFERROR((SystemOverview!K38/SystemOverview!K41),0)</f>
        <v>0</v>
      </c>
      <c r="M18" s="860">
        <f>IFERROR((SystemOverview!L38/SystemOverview!L41),0)</f>
        <v>0</v>
      </c>
      <c r="N18" s="860">
        <f>IFERROR((SystemOverview!M38/SystemOverview!M41),0)</f>
        <v>0</v>
      </c>
      <c r="O18" s="860">
        <f>IFERROR((SystemOverview!N38/SystemOverview!N41),0)</f>
        <v>1.2912493440358297</v>
      </c>
    </row>
    <row r="19" spans="1:15">
      <c r="A19" s="863" t="s">
        <v>58</v>
      </c>
      <c r="B19" s="870" t="s">
        <v>59</v>
      </c>
      <c r="C19" s="859">
        <f>IFERROR((SystemOverview!B19/SystemOverview!B38),0)</f>
        <v>1.8378794816047552</v>
      </c>
      <c r="D19" s="859">
        <f>IFERROR((SystemOverview!C19/SystemOverview!C38),0)</f>
        <v>1.9144205512746455</v>
      </c>
      <c r="E19" s="859">
        <f>IFERROR((SystemOverview!D19/SystemOverview!D38),0)</f>
        <v>1.9257275567558572</v>
      </c>
      <c r="F19" s="859">
        <f>IFERROR((SystemOverview!E19/SystemOverview!E38),0)</f>
        <v>1.95673323784558</v>
      </c>
      <c r="G19" s="859">
        <f>IFERROR((SystemOverview!F19/SystemOverview!F38),0)</f>
        <v>1.9108927556299404</v>
      </c>
      <c r="H19" s="859">
        <f>IFERROR((SystemOverview!G19/SystemOverview!G38),0)</f>
        <v>1.8880329298097676</v>
      </c>
      <c r="I19" s="859">
        <f>IFERROR((SystemOverview!H19/SystemOverview!H38),0)</f>
        <v>0</v>
      </c>
      <c r="J19" s="859">
        <f>IFERROR((SystemOverview!I19/SystemOverview!I38),0)</f>
        <v>0</v>
      </c>
      <c r="K19" s="859">
        <f>IFERROR((SystemOverview!J19/SystemOverview!J38),0)</f>
        <v>0</v>
      </c>
      <c r="L19" s="859">
        <f>IFERROR((SystemOverview!K19/SystemOverview!K38),0)</f>
        <v>0</v>
      </c>
      <c r="M19" s="859">
        <f>IFERROR((SystemOverview!L19/SystemOverview!L38),0)</f>
        <v>0</v>
      </c>
      <c r="N19" s="859">
        <f>IFERROR((SystemOverview!M19/SystemOverview!M38),0)</f>
        <v>0</v>
      </c>
      <c r="O19" s="859">
        <f>IFERROR((SystemOverview!N19/SystemOverview!N38),0)</f>
        <v>1.9057186837104956</v>
      </c>
    </row>
    <row r="20" spans="1:15">
      <c r="A20" s="866"/>
      <c r="B20" s="870" t="s">
        <v>94</v>
      </c>
      <c r="C20" s="860">
        <f>IFERROR(SystemOverview!B19/SystemOverview!B41,0)</f>
        <v>2.4334773296547718</v>
      </c>
      <c r="D20" s="860">
        <f>IFERROR(SystemOverview!C19/SystemOverview!C41,0)</f>
        <v>2.4686629832312925</v>
      </c>
      <c r="E20" s="860">
        <f>IFERROR(SystemOverview!D19/SystemOverview!D41,0)</f>
        <v>2.4481066026558342</v>
      </c>
      <c r="F20" s="860">
        <f>IFERROR(SystemOverview!E19/SystemOverview!E41,0)</f>
        <v>2.4597515278962083</v>
      </c>
      <c r="G20" s="860">
        <f>IFERROR(SystemOverview!F19/SystemOverview!F41,0)</f>
        <v>2.5022872827081426</v>
      </c>
      <c r="H20" s="860">
        <f>IFERROR(SystemOverview!G19/SystemOverview!G41,0)</f>
        <v>2.4560649662133547</v>
      </c>
      <c r="I20" s="860">
        <f>IFERROR(SystemOverview!H19/SystemOverview!H41,0)</f>
        <v>0</v>
      </c>
      <c r="J20" s="860">
        <f>IFERROR(SystemOverview!I19/SystemOverview!I41,0)</f>
        <v>0</v>
      </c>
      <c r="K20" s="860">
        <f>IFERROR(SystemOverview!J19/SystemOverview!J41,0)</f>
        <v>0</v>
      </c>
      <c r="L20" s="860">
        <f>IFERROR(SystemOverview!K19/SystemOverview!K41,0)</f>
        <v>0</v>
      </c>
      <c r="M20" s="860">
        <f>IFERROR(SystemOverview!L19/SystemOverview!L41,0)</f>
        <v>0</v>
      </c>
      <c r="N20" s="860">
        <f>IFERROR(SystemOverview!M19/SystemOverview!M41,0)</f>
        <v>0</v>
      </c>
      <c r="O20" s="860">
        <f>IFERROR(SystemOverview!N19/SystemOverview!N41,0)</f>
        <v>2.4607580002580018</v>
      </c>
    </row>
    <row r="21" spans="1:15">
      <c r="A21" s="863" t="s">
        <v>60</v>
      </c>
      <c r="B21" s="864" t="s">
        <v>61</v>
      </c>
      <c r="C21" s="859">
        <f>IFERROR(SystemOverview!B19/SystemOverview!B38,0)</f>
        <v>1.8378794816047552</v>
      </c>
      <c r="D21" s="859">
        <f>IFERROR(SystemOverview!C19/SystemOverview!C38,0)</f>
        <v>1.9144205512746455</v>
      </c>
      <c r="E21" s="859">
        <f>IFERROR(SystemOverview!D19/SystemOverview!D38,0)</f>
        <v>1.9257275567558572</v>
      </c>
      <c r="F21" s="859">
        <f>IFERROR(SystemOverview!E19/SystemOverview!E38,0)</f>
        <v>1.95673323784558</v>
      </c>
      <c r="G21" s="859">
        <f>IFERROR(SystemOverview!F19/SystemOverview!F38,0)</f>
        <v>1.9108927556299404</v>
      </c>
      <c r="H21" s="859">
        <f>IFERROR(SystemOverview!G19/SystemOverview!G38,0)</f>
        <v>1.8880329298097676</v>
      </c>
      <c r="I21" s="859">
        <f>IFERROR(SystemOverview!H19/SystemOverview!H38,0)</f>
        <v>0</v>
      </c>
      <c r="J21" s="859">
        <f>IFERROR(SystemOverview!I19/SystemOverview!I38,0)</f>
        <v>0</v>
      </c>
      <c r="K21" s="859">
        <f>IFERROR(SystemOverview!J19/SystemOverview!J38,0)</f>
        <v>0</v>
      </c>
      <c r="L21" s="859">
        <f>IFERROR(SystemOverview!K19/SystemOverview!K38,0)</f>
        <v>0</v>
      </c>
      <c r="M21" s="859">
        <f>IFERROR(SystemOverview!L19/SystemOverview!L38,0)</f>
        <v>0</v>
      </c>
      <c r="N21" s="859">
        <f>IFERROR(SystemOverview!M19/SystemOverview!M38,0)</f>
        <v>0</v>
      </c>
      <c r="O21" s="859">
        <f>IFERROR(SystemOverview!N19/SystemOverview!N38,0)</f>
        <v>1.9057186837104956</v>
      </c>
    </row>
    <row r="22" spans="1:15">
      <c r="A22" s="870" t="s">
        <v>11</v>
      </c>
      <c r="B22" s="872" t="s">
        <v>11</v>
      </c>
      <c r="C22" s="877">
        <f>IFERROR(SystemOverview!B51,0)</f>
        <v>0.9607</v>
      </c>
      <c r="D22" s="877">
        <f>IFERROR(SystemOverview!C51,0)</f>
        <v>0.94820000000000004</v>
      </c>
      <c r="E22" s="877">
        <f>IFERROR(SystemOverview!D51,0)</f>
        <v>0.95069999999999999</v>
      </c>
      <c r="F22" s="877">
        <f>IFERROR(SystemOverview!E51,0)</f>
        <v>0.94899999999999995</v>
      </c>
      <c r="G22" s="877">
        <f>IFERROR(SystemOverview!F51,0)</f>
        <v>0.95269999999999999</v>
      </c>
      <c r="H22" s="877">
        <f>IFERROR(SystemOverview!G51,0)</f>
        <v>0.95889999999999997</v>
      </c>
      <c r="I22" s="859">
        <f>IFERROR(SystemOverview!H20/SystemOverview!H39,0)</f>
        <v>0</v>
      </c>
      <c r="J22" s="859">
        <f>IFERROR(SystemOverview!I20/SystemOverview!I39,0)</f>
        <v>0</v>
      </c>
      <c r="K22" s="859">
        <f>IFERROR(SystemOverview!J20/SystemOverview!J39,0)</f>
        <v>0</v>
      </c>
      <c r="L22" s="859">
        <f>IFERROR(SystemOverview!K20/SystemOverview!K39,0)</f>
        <v>0</v>
      </c>
      <c r="M22" s="859">
        <f>IFERROR(SystemOverview!L20/SystemOverview!L39,0)</f>
        <v>0</v>
      </c>
      <c r="N22" s="859">
        <f>IFERROR(SystemOverview!M20/SystemOverview!M39,0)</f>
        <v>0</v>
      </c>
      <c r="O22" s="877">
        <f>IFERROR(SystemOverview!N51,0)</f>
        <v>0.95336666666666658</v>
      </c>
    </row>
    <row r="23" spans="1:15">
      <c r="A23" s="878" t="s">
        <v>69</v>
      </c>
      <c r="B23" s="864" t="s">
        <v>62</v>
      </c>
      <c r="C23" s="859">
        <f>IFERROR(SystemOverview!B45/SystemOverview!B38,0)</f>
        <v>17.030166611376291</v>
      </c>
      <c r="D23" s="859">
        <f>IFERROR(SystemOverview!C45/SystemOverview!C38,0)</f>
        <v>17.407167224335431</v>
      </c>
      <c r="E23" s="859">
        <f>IFERROR(SystemOverview!D45/SystemOverview!D38,0)</f>
        <v>17.601767166708274</v>
      </c>
      <c r="F23" s="859">
        <f>IFERROR(SystemOverview!E45/SystemOverview!E38,0)</f>
        <v>17.768289057643972</v>
      </c>
      <c r="G23" s="859">
        <f>IFERROR(SystemOverview!F45/SystemOverview!F38,0)</f>
        <v>17.223758967730461</v>
      </c>
      <c r="H23" s="859">
        <f>IFERROR(SystemOverview!G45/SystemOverview!G38,0)</f>
        <v>17.235426859964143</v>
      </c>
      <c r="I23" s="859">
        <f>IFERROR(SystemOverview!H45/SystemOverview!H38,0)</f>
        <v>0</v>
      </c>
      <c r="J23" s="859">
        <f>IFERROR(SystemOverview!I45/SystemOverview!I38,0)</f>
        <v>0</v>
      </c>
      <c r="K23" s="859">
        <f>IFERROR(SystemOverview!J45/SystemOverview!J38,0)</f>
        <v>0</v>
      </c>
      <c r="L23" s="859">
        <f>IFERROR(SystemOverview!K45/SystemOverview!K38,0)</f>
        <v>0</v>
      </c>
      <c r="M23" s="859">
        <f>IFERROR(SystemOverview!L45/SystemOverview!L38,0)</f>
        <v>0</v>
      </c>
      <c r="N23" s="859">
        <f>IFERROR(SystemOverview!M45/SystemOverview!M38,0)</f>
        <v>0</v>
      </c>
      <c r="O23" s="859">
        <f>IFERROR(SystemOverview!N45/SystemOverview!N38,0)</f>
        <v>17.382241711599253</v>
      </c>
    </row>
    <row r="24" spans="1:15">
      <c r="A24" s="863" t="s">
        <v>63</v>
      </c>
      <c r="B24" s="864" t="s">
        <v>76</v>
      </c>
      <c r="C24" s="859">
        <f>IFERROR(SystemOverview!B49/SystemOverview!B19,0)</f>
        <v>9.3632430819721044</v>
      </c>
      <c r="D24" s="859">
        <f>IFERROR(SystemOverview!C49/SystemOverview!C19,0)</f>
        <v>9.2657272986051815</v>
      </c>
      <c r="E24" s="859">
        <f>IFERROR(SystemOverview!D49/SystemOverview!D19,0)</f>
        <v>9.21063796354494</v>
      </c>
      <c r="F24" s="859">
        <f>IFERROR(SystemOverview!E49/SystemOverview!E19,0)</f>
        <v>9.1499205855949182</v>
      </c>
      <c r="G24" s="859">
        <f>IFERROR(SystemOverview!F49/SystemOverview!F19,0)</f>
        <v>9.0647332557753035</v>
      </c>
      <c r="H24" s="859">
        <f>IFERROR(SystemOverview!G49/SystemOverview!G19,0)</f>
        <v>9.2059887290772977</v>
      </c>
      <c r="I24" s="859">
        <f>IFERROR(SystemOverview!H49/SystemOverview!H19,0)</f>
        <v>0</v>
      </c>
      <c r="J24" s="859">
        <f>IFERROR(SystemOverview!I49/SystemOverview!I19,0)</f>
        <v>0</v>
      </c>
      <c r="K24" s="859">
        <f>IFERROR(SystemOverview!J49/SystemOverview!J19,0)</f>
        <v>0</v>
      </c>
      <c r="L24" s="859">
        <f>IFERROR(SystemOverview!K49/SystemOverview!K19,0)</f>
        <v>0</v>
      </c>
      <c r="M24" s="859">
        <f>IFERROR(SystemOverview!L49/SystemOverview!L19,0)</f>
        <v>0</v>
      </c>
      <c r="N24" s="859">
        <f>IFERROR(SystemOverview!M49/SystemOverview!M19,0)</f>
        <v>0</v>
      </c>
      <c r="O24" s="859">
        <f>IFERROR(SystemOverview!N49/SystemOverview!N19,0)</f>
        <v>9.2122889389370286</v>
      </c>
    </row>
    <row r="25" spans="1:15">
      <c r="A25" s="866"/>
      <c r="B25" s="864" t="s">
        <v>77</v>
      </c>
      <c r="C25" s="859">
        <f>IFERROR(SystemOverview!B45/SystemOverview!B19,0)</f>
        <v>9.2662042216752436</v>
      </c>
      <c r="D25" s="859">
        <f>IFERROR(SystemOverview!C45/SystemOverview!C19,0)</f>
        <v>9.0926558497011101</v>
      </c>
      <c r="E25" s="859">
        <f>IFERROR(SystemOverview!D45/SystemOverview!D19,0)</f>
        <v>9.1403205531112501</v>
      </c>
      <c r="F25" s="859">
        <f>IFERROR(SystemOverview!E45/SystemOverview!E19,0)</f>
        <v>9.0805883571576551</v>
      </c>
      <c r="G25" s="859">
        <f>IFERROR(SystemOverview!F45/SystemOverview!F19,0)</f>
        <v>9.0134618580688048</v>
      </c>
      <c r="H25" s="859">
        <f>IFERROR(SystemOverview!G45/SystemOverview!G19,0)</f>
        <v>9.1287744974346037</v>
      </c>
      <c r="I25" s="859">
        <f>IFERROR(SystemOverview!H45/SystemOverview!H19,0)</f>
        <v>0</v>
      </c>
      <c r="J25" s="859">
        <f>IFERROR(SystemOverview!I45/SystemOverview!I19,0)</f>
        <v>0</v>
      </c>
      <c r="K25" s="859">
        <f>IFERROR(SystemOverview!J45/SystemOverview!J19,0)</f>
        <v>0</v>
      </c>
      <c r="L25" s="859">
        <f>IFERROR(SystemOverview!K45/SystemOverview!K19,0)</f>
        <v>0</v>
      </c>
      <c r="M25" s="859">
        <f>IFERROR(SystemOverview!L45/SystemOverview!L19,0)</f>
        <v>0</v>
      </c>
      <c r="N25" s="859">
        <f>IFERROR(SystemOverview!M45/SystemOverview!M19,0)</f>
        <v>0</v>
      </c>
      <c r="O25" s="859">
        <f>IFERROR(SystemOverview!N45/SystemOverview!N19,0)</f>
        <v>9.1210952908093805</v>
      </c>
    </row>
    <row r="26" spans="1:15">
      <c r="A26" s="868"/>
      <c r="B26" s="867" t="s">
        <v>64</v>
      </c>
      <c r="C26" s="859">
        <f>IFERROR(SystemOverview!B48/SystemOverview!B19,0)</f>
        <v>7.307675095099575</v>
      </c>
      <c r="D26" s="859">
        <f>IFERROR(SystemOverview!C48/SystemOverview!C19,0)</f>
        <v>7.2687161969826359</v>
      </c>
      <c r="E26" s="859">
        <f>IFERROR(SystemOverview!D48/SystemOverview!D19,0)</f>
        <v>7.4049340037712135</v>
      </c>
      <c r="F26" s="859">
        <f>IFERROR(SystemOverview!E48/SystemOverview!E19,0)</f>
        <v>7.3702092396933914</v>
      </c>
      <c r="G26" s="859">
        <f>IFERROR(SystemOverview!F48/SystemOverview!F19,0)</f>
        <v>7.1436762506232343</v>
      </c>
      <c r="H26" s="859">
        <f>IFERROR(SystemOverview!G48/SystemOverview!G19,0)</f>
        <v>7.2793338380015138</v>
      </c>
      <c r="I26" s="859">
        <f>IFERROR(SystemOverview!H48/SystemOverview!H19,0)</f>
        <v>0</v>
      </c>
      <c r="J26" s="859">
        <f>IFERROR(SystemOverview!I48/SystemOverview!I19,0)</f>
        <v>0</v>
      </c>
      <c r="K26" s="859">
        <f>IFERROR(SystemOverview!J48/SystemOverview!J19,0)</f>
        <v>0</v>
      </c>
      <c r="L26" s="859">
        <f>IFERROR(SystemOverview!K48/SystemOverview!K19,0)</f>
        <v>0</v>
      </c>
      <c r="M26" s="859">
        <f>IFERROR(SystemOverview!L48/SystemOverview!L19,0)</f>
        <v>0</v>
      </c>
      <c r="N26" s="859">
        <f>IFERROR(SystemOverview!M48/SystemOverview!M19,0)</f>
        <v>0</v>
      </c>
      <c r="O26" s="859">
        <f>IFERROR(SystemOverview!N48/SystemOverview!N19,0)</f>
        <v>7.2985838073061799</v>
      </c>
    </row>
    <row r="27" spans="1:15">
      <c r="A27" s="863" t="s">
        <v>65</v>
      </c>
      <c r="B27" s="864" t="s">
        <v>98</v>
      </c>
      <c r="C27" s="859">
        <f>SystemOverview!B14/ServiceAssessment!$B$39</f>
        <v>391.97142857142859</v>
      </c>
      <c r="D27" s="859">
        <f>SystemOverview!C14/ServiceAssessment!$B$39</f>
        <v>408.62857142857143</v>
      </c>
      <c r="E27" s="859">
        <f>SystemOverview!D14/ServiceAssessment!$B$39</f>
        <v>374.28571428571428</v>
      </c>
      <c r="F27" s="859">
        <f>SystemOverview!E14/ServiceAssessment!$B$39</f>
        <v>426.6</v>
      </c>
      <c r="G27" s="859">
        <f>SystemOverview!F14/ServiceAssessment!$B$39</f>
        <v>350.68571428571431</v>
      </c>
      <c r="H27" s="859">
        <f>SystemOverview!G14/ServiceAssessment!$B$39</f>
        <v>347.71428571428572</v>
      </c>
      <c r="I27" s="859">
        <f>SystemOverview!H14/ServiceAssessment!$B$39</f>
        <v>0</v>
      </c>
      <c r="J27" s="859">
        <f>SystemOverview!I14/ServiceAssessment!$B$39</f>
        <v>0</v>
      </c>
      <c r="K27" s="859">
        <f>SystemOverview!J14/ServiceAssessment!$B$39</f>
        <v>0</v>
      </c>
      <c r="L27" s="859">
        <f>SystemOverview!K14/ServiceAssessment!$B$39</f>
        <v>0</v>
      </c>
      <c r="M27" s="859">
        <f>SystemOverview!L14/ServiceAssessment!$B$39</f>
        <v>0</v>
      </c>
      <c r="N27" s="859">
        <f>SystemOverview!M14/ServiceAssessment!$B$39</f>
        <v>0</v>
      </c>
      <c r="O27" s="859">
        <f>SystemOverview!N14/ServiceAssessment!$B$39</f>
        <v>2299.8857142857141</v>
      </c>
    </row>
    <row r="28" spans="1:15">
      <c r="A28" s="866"/>
      <c r="B28" s="864" t="s">
        <v>96</v>
      </c>
      <c r="C28" s="859">
        <f>SystemOverview!B41/ServiceAssessment!$B$39</f>
        <v>157.41142857142856</v>
      </c>
      <c r="D28" s="859">
        <f>SystemOverview!C41/ServiceAssessment!$B$39</f>
        <v>162.63285714285712</v>
      </c>
      <c r="E28" s="859">
        <f>SystemOverview!D41/ServiceAssessment!$B$39</f>
        <v>148.54628571428572</v>
      </c>
      <c r="F28" s="859">
        <f>SystemOverview!E41/ServiceAssessment!$B$39</f>
        <v>168.20514285714287</v>
      </c>
      <c r="G28" s="859">
        <f>SystemOverview!F41/ServiceAssessment!$B$39</f>
        <v>137.40571428571428</v>
      </c>
      <c r="H28" s="859">
        <f>SystemOverview!G41/ServiceAssessment!$B$39</f>
        <v>138.30485714285714</v>
      </c>
      <c r="I28" s="859">
        <f>SystemOverview!H41/ServiceAssessment!$B$39</f>
        <v>0</v>
      </c>
      <c r="J28" s="859">
        <f>SystemOverview!I41/ServiceAssessment!$B$39</f>
        <v>0</v>
      </c>
      <c r="K28" s="859">
        <f>SystemOverview!J41/ServiceAssessment!$B$39</f>
        <v>0</v>
      </c>
      <c r="L28" s="859">
        <f>SystemOverview!K41/ServiceAssessment!$B$39</f>
        <v>0</v>
      </c>
      <c r="M28" s="859">
        <f>SystemOverview!L41/ServiceAssessment!$B$39</f>
        <v>0</v>
      </c>
      <c r="N28" s="859">
        <f>SystemOverview!M41/ServiceAssessment!$B$39</f>
        <v>0</v>
      </c>
      <c r="O28" s="859">
        <f>SystemOverview!N41/ServiceAssessment!$B$39</f>
        <v>912.5062857142857</v>
      </c>
    </row>
    <row r="29" spans="1:15">
      <c r="A29" s="866"/>
      <c r="B29" s="864" t="s">
        <v>97</v>
      </c>
      <c r="C29" s="859">
        <f>SystemOverview!B48/ServiceAssessment!$B$39</f>
        <v>2799.2571428571428</v>
      </c>
      <c r="D29" s="859">
        <f>SystemOverview!C48/ServiceAssessment!$B$39</f>
        <v>2918.2857142857142</v>
      </c>
      <c r="E29" s="859">
        <f>SystemOverview!D48/ServiceAssessment!$B$39</f>
        <v>2692.8571428571427</v>
      </c>
      <c r="F29" s="859">
        <f>SystemOverview!E48/ServiceAssessment!$B$39</f>
        <v>3049.3714285714286</v>
      </c>
      <c r="G29" s="859">
        <f>SystemOverview!F48/ServiceAssessment!$B$39</f>
        <v>2456.1999999999998</v>
      </c>
      <c r="H29" s="859">
        <f>SystemOverview!G48/ServiceAssessment!$B$39</f>
        <v>2472.6857142857143</v>
      </c>
      <c r="I29" s="859">
        <f>SystemOverview!H48/ServiceAssessment!$B$39</f>
        <v>0</v>
      </c>
      <c r="J29" s="859">
        <f>SystemOverview!I48/ServiceAssessment!$B$39</f>
        <v>0</v>
      </c>
      <c r="K29" s="859">
        <f>SystemOverview!J48/ServiceAssessment!$B$39</f>
        <v>0</v>
      </c>
      <c r="L29" s="859">
        <f>SystemOverview!K48/ServiceAssessment!$B$39</f>
        <v>0</v>
      </c>
      <c r="M29" s="859">
        <f>SystemOverview!L48/ServiceAssessment!$B$39</f>
        <v>0</v>
      </c>
      <c r="N29" s="859">
        <f>SystemOverview!M48/ServiceAssessment!$B$39</f>
        <v>0</v>
      </c>
      <c r="O29" s="859">
        <f>SystemOverview!N48/ServiceAssessment!$B$39</f>
        <v>16388.657142857144</v>
      </c>
    </row>
    <row r="30" spans="1:15">
      <c r="A30" s="866"/>
      <c r="B30" s="864" t="s">
        <v>66</v>
      </c>
      <c r="C30" s="859">
        <f>SystemOverview!B38/ServiceAssessment!$B$39</f>
        <v>208.42342857142856</v>
      </c>
      <c r="D30" s="859">
        <f>SystemOverview!C38/ServiceAssessment!$B$39</f>
        <v>209.71657142857143</v>
      </c>
      <c r="E30" s="859">
        <f>SystemOverview!D38/ServiceAssessment!$B$39</f>
        <v>188.84142857142857</v>
      </c>
      <c r="F30" s="859">
        <f>SystemOverview!E38/ServiceAssessment!$B$39</f>
        <v>211.4457142857143</v>
      </c>
      <c r="G30" s="859">
        <f>SystemOverview!F38/ServiceAssessment!$B$39</f>
        <v>179.93085714285715</v>
      </c>
      <c r="H30" s="859">
        <f>SystemOverview!G38/ServiceAssessment!$B$39</f>
        <v>179.91514285714285</v>
      </c>
      <c r="I30" s="859">
        <f>SystemOverview!H38/ServiceAssessment!$B$39</f>
        <v>0</v>
      </c>
      <c r="J30" s="859">
        <f>SystemOverview!I38/ServiceAssessment!$B$39</f>
        <v>0</v>
      </c>
      <c r="K30" s="859">
        <f>SystemOverview!J38/ServiceAssessment!$B$39</f>
        <v>0</v>
      </c>
      <c r="L30" s="859">
        <f>SystemOverview!K38/ServiceAssessment!$B$39</f>
        <v>0</v>
      </c>
      <c r="M30" s="859">
        <f>SystemOverview!L38/ServiceAssessment!$B$39</f>
        <v>0</v>
      </c>
      <c r="N30" s="859">
        <f>SystemOverview!M38/ServiceAssessment!$B$39</f>
        <v>0</v>
      </c>
      <c r="O30" s="859">
        <f>SystemOverview!N38/ServiceAssessment!$B$39</f>
        <v>1178.2731428571428</v>
      </c>
    </row>
    <row r="31" spans="1:15">
      <c r="A31" s="866"/>
      <c r="B31" s="864" t="s">
        <v>67</v>
      </c>
      <c r="C31" s="859">
        <f>SystemOverview!B45/ServiceAssessment!$B$39</f>
        <v>3549.4857142857145</v>
      </c>
      <c r="D31" s="859">
        <f>SystemOverview!C45/ServiceAssessment!$B$39</f>
        <v>3650.5714285714284</v>
      </c>
      <c r="E31" s="859">
        <f>SystemOverview!D45/ServiceAssessment!$B$39</f>
        <v>3323.9428571428571</v>
      </c>
      <c r="F31" s="859">
        <f>SystemOverview!E45/ServiceAssessment!$B$39</f>
        <v>3757.0285714285715</v>
      </c>
      <c r="G31" s="859">
        <f>SystemOverview!F45/ServiceAssessment!$B$39</f>
        <v>3099.0857142857144</v>
      </c>
      <c r="H31" s="859">
        <f>SystemOverview!G45/ServiceAssessment!$B$39</f>
        <v>3100.9142857142856</v>
      </c>
      <c r="I31" s="859">
        <f>SystemOverview!H45/ServiceAssessment!$B$39</f>
        <v>0</v>
      </c>
      <c r="J31" s="859">
        <f>SystemOverview!I45/ServiceAssessment!$B$39</f>
        <v>0</v>
      </c>
      <c r="K31" s="859">
        <f>SystemOverview!J45/ServiceAssessment!$B$39</f>
        <v>0</v>
      </c>
      <c r="L31" s="859">
        <f>SystemOverview!K45/ServiceAssessment!$B$39</f>
        <v>0</v>
      </c>
      <c r="M31" s="859">
        <f>SystemOverview!L45/ServiceAssessment!$B$39</f>
        <v>0</v>
      </c>
      <c r="N31" s="859">
        <f>SystemOverview!M45/ServiceAssessment!$B$39</f>
        <v>0</v>
      </c>
      <c r="O31" s="859">
        <f>SystemOverview!N45/ServiceAssessment!$B$39</f>
        <v>20481.028571428571</v>
      </c>
    </row>
    <row r="32" spans="1:15">
      <c r="A32" s="868"/>
      <c r="B32" s="864" t="s">
        <v>68</v>
      </c>
      <c r="C32" s="859">
        <f>SystemOverview!B38/ServiceAssessment!$B$39</f>
        <v>208.42342857142856</v>
      </c>
      <c r="D32" s="859">
        <f>SystemOverview!C38/ServiceAssessment!$B$39</f>
        <v>209.71657142857143</v>
      </c>
      <c r="E32" s="859">
        <f>SystemOverview!D38/ServiceAssessment!$B$39</f>
        <v>188.84142857142857</v>
      </c>
      <c r="F32" s="859">
        <f>SystemOverview!E38/ServiceAssessment!$B$39</f>
        <v>211.4457142857143</v>
      </c>
      <c r="G32" s="859">
        <f>SystemOverview!F38/ServiceAssessment!$B$39</f>
        <v>179.93085714285715</v>
      </c>
      <c r="H32" s="859">
        <f>SystemOverview!G38/ServiceAssessment!$B$39</f>
        <v>179.91514285714285</v>
      </c>
      <c r="I32" s="859">
        <f>SystemOverview!H38/ServiceAssessment!$B$39</f>
        <v>0</v>
      </c>
      <c r="J32" s="859">
        <f>SystemOverview!I38/ServiceAssessment!$B$39</f>
        <v>0</v>
      </c>
      <c r="K32" s="859">
        <f>SystemOverview!J38/ServiceAssessment!$B$39</f>
        <v>0</v>
      </c>
      <c r="L32" s="859">
        <f>SystemOverview!K38/ServiceAssessment!$B$39</f>
        <v>0</v>
      </c>
      <c r="M32" s="859">
        <f>SystemOverview!L38/ServiceAssessment!$B$39</f>
        <v>0</v>
      </c>
      <c r="N32" s="859">
        <f>SystemOverview!M38/ServiceAssessment!$B$39</f>
        <v>0</v>
      </c>
      <c r="O32" s="859">
        <f>SystemOverview!N38/ServiceAssessment!$B$39</f>
        <v>1178.2731428571428</v>
      </c>
    </row>
    <row r="33" spans="1:15">
      <c r="A33" s="879"/>
      <c r="B33" s="879"/>
      <c r="C33" s="880"/>
      <c r="D33" s="880"/>
      <c r="E33" s="880"/>
      <c r="F33" s="880"/>
      <c r="G33" s="880"/>
      <c r="H33" s="880"/>
      <c r="I33" s="880"/>
      <c r="J33" s="880"/>
      <c r="K33" s="880"/>
      <c r="L33" s="880"/>
      <c r="M33" s="880"/>
      <c r="N33" s="880"/>
      <c r="O33" s="880"/>
    </row>
    <row r="34" spans="1:15" ht="13.2" hidden="1" customHeight="1">
      <c r="A34" s="879" t="s">
        <v>49</v>
      </c>
      <c r="B34" s="881">
        <v>657</v>
      </c>
      <c r="C34" s="879"/>
      <c r="D34" s="880"/>
      <c r="E34" s="880"/>
      <c r="F34" s="880"/>
      <c r="G34" s="880"/>
      <c r="H34" s="880"/>
      <c r="I34" s="880"/>
      <c r="J34" s="880"/>
      <c r="K34" s="880"/>
      <c r="L34" s="880"/>
      <c r="M34" s="880"/>
      <c r="N34" s="880"/>
      <c r="O34" s="880"/>
    </row>
    <row r="35" spans="1:15" ht="13.2" hidden="1" customHeight="1">
      <c r="A35" s="879" t="s">
        <v>50</v>
      </c>
      <c r="B35" s="881">
        <v>247555</v>
      </c>
      <c r="C35" s="880" t="s">
        <v>468</v>
      </c>
      <c r="D35" s="879"/>
      <c r="E35" s="880"/>
      <c r="F35" s="880"/>
      <c r="G35" s="880"/>
      <c r="H35" s="880"/>
      <c r="I35" s="880"/>
      <c r="J35" s="880"/>
      <c r="K35" s="880"/>
      <c r="L35" s="880"/>
      <c r="M35" s="880"/>
      <c r="N35" s="880"/>
      <c r="O35" s="880"/>
    </row>
    <row r="36" spans="1:15" ht="13.2" hidden="1" customHeight="1">
      <c r="A36" s="879" t="s">
        <v>173</v>
      </c>
      <c r="B36" s="881">
        <v>483</v>
      </c>
      <c r="C36" s="880" t="s">
        <v>469</v>
      </c>
      <c r="D36" s="879"/>
      <c r="E36" s="880"/>
      <c r="F36" s="880"/>
      <c r="G36" s="880"/>
      <c r="H36" s="880"/>
      <c r="I36" s="880"/>
      <c r="J36" s="880"/>
      <c r="K36" s="880"/>
      <c r="L36" s="880"/>
      <c r="M36" s="880"/>
      <c r="N36" s="880"/>
      <c r="O36" s="880"/>
    </row>
    <row r="37" spans="1:15" ht="13.2" hidden="1" customHeight="1">
      <c r="A37" s="879" t="s">
        <v>301</v>
      </c>
      <c r="B37" s="881">
        <v>61037</v>
      </c>
      <c r="C37" s="880"/>
      <c r="D37" s="880"/>
      <c r="E37" s="880"/>
      <c r="F37" s="880"/>
      <c r="G37" s="880"/>
      <c r="H37" s="880"/>
      <c r="I37" s="880"/>
      <c r="J37" s="880"/>
      <c r="K37" s="880"/>
      <c r="L37" s="880"/>
      <c r="M37" s="880"/>
      <c r="N37" s="880"/>
      <c r="O37" s="880"/>
    </row>
    <row r="38" spans="1:15" ht="13.2" hidden="1" customHeight="1">
      <c r="A38" s="879" t="s">
        <v>51</v>
      </c>
      <c r="B38" s="881">
        <v>2790</v>
      </c>
      <c r="C38" s="880"/>
      <c r="D38" s="880"/>
      <c r="E38" s="880"/>
      <c r="F38" s="880"/>
      <c r="G38" s="880"/>
      <c r="H38" s="880"/>
      <c r="I38" s="880"/>
      <c r="J38" s="880"/>
      <c r="K38" s="880"/>
      <c r="L38" s="880"/>
      <c r="M38" s="880"/>
      <c r="N38" s="880"/>
      <c r="O38" s="880"/>
    </row>
    <row r="39" spans="1:15" hidden="1">
      <c r="A39" s="879" t="s">
        <v>99</v>
      </c>
      <c r="B39" s="881">
        <v>35</v>
      </c>
      <c r="C39" s="880"/>
      <c r="D39" s="880"/>
      <c r="E39" s="880"/>
      <c r="F39" s="880"/>
      <c r="G39" s="880"/>
      <c r="H39" s="880"/>
      <c r="I39" s="880"/>
      <c r="J39" s="880"/>
      <c r="K39" s="880"/>
      <c r="L39" s="880"/>
      <c r="M39" s="880"/>
      <c r="N39" s="880"/>
      <c r="O39" s="880"/>
    </row>
    <row r="40" spans="1:15" hidden="1">
      <c r="A40" s="879" t="s">
        <v>100</v>
      </c>
      <c r="B40" s="881">
        <v>8</v>
      </c>
      <c r="C40" s="880"/>
      <c r="D40" s="880"/>
      <c r="E40" s="880"/>
      <c r="F40" s="880"/>
      <c r="G40" s="880"/>
      <c r="H40" s="880"/>
      <c r="I40" s="880"/>
      <c r="J40" s="880"/>
      <c r="K40" s="880"/>
      <c r="L40" s="880"/>
      <c r="M40" s="880"/>
      <c r="N40" s="880"/>
      <c r="O40" s="880"/>
    </row>
    <row r="41" spans="1:15" hidden="1">
      <c r="A41" s="879" t="s">
        <v>101</v>
      </c>
      <c r="B41" s="881">
        <v>43</v>
      </c>
      <c r="C41" s="880"/>
      <c r="D41" s="880"/>
      <c r="E41" s="880"/>
      <c r="F41" s="880"/>
      <c r="G41" s="880"/>
      <c r="H41" s="880"/>
      <c r="I41" s="880"/>
      <c r="J41" s="880"/>
      <c r="K41" s="880"/>
      <c r="L41" s="880"/>
      <c r="M41" s="880"/>
      <c r="N41" s="880"/>
      <c r="O41" s="880"/>
    </row>
    <row r="42" spans="1:15" ht="17.399999999999999">
      <c r="A42" s="862" t="s">
        <v>52</v>
      </c>
      <c r="B42" s="862" t="s">
        <v>486</v>
      </c>
      <c r="C42" s="892" t="s">
        <v>8</v>
      </c>
      <c r="D42" s="892" t="s">
        <v>78</v>
      </c>
      <c r="E42" s="892" t="s">
        <v>79</v>
      </c>
      <c r="F42" s="892" t="s">
        <v>80</v>
      </c>
      <c r="G42" s="892" t="s">
        <v>81</v>
      </c>
      <c r="H42" s="892" t="s">
        <v>82</v>
      </c>
      <c r="I42" s="892" t="s">
        <v>83</v>
      </c>
      <c r="J42" s="892" t="s">
        <v>84</v>
      </c>
      <c r="K42" s="892" t="s">
        <v>85</v>
      </c>
      <c r="L42" s="892" t="s">
        <v>4</v>
      </c>
      <c r="M42" s="892" t="s">
        <v>5</v>
      </c>
      <c r="N42" s="892" t="s">
        <v>6</v>
      </c>
      <c r="O42" s="892" t="s">
        <v>30</v>
      </c>
    </row>
    <row r="43" spans="1:15">
      <c r="A43" s="863" t="s">
        <v>53</v>
      </c>
      <c r="B43" s="864" t="s">
        <v>54</v>
      </c>
      <c r="C43" s="865">
        <v>159.35616438356163</v>
      </c>
      <c r="D43" s="859">
        <v>173.78843226788433</v>
      </c>
      <c r="E43" s="859">
        <v>152.5296803652968</v>
      </c>
      <c r="F43" s="859">
        <v>178.52359208523592</v>
      </c>
      <c r="G43" s="859">
        <v>157.28310502283105</v>
      </c>
      <c r="H43" s="859">
        <v>135.74429223744292</v>
      </c>
      <c r="I43" s="859">
        <v>170.67732115677322</v>
      </c>
      <c r="J43" s="859">
        <v>161.6834094368341</v>
      </c>
      <c r="K43" s="859">
        <v>174.05631659056317</v>
      </c>
      <c r="L43" s="859">
        <v>173.49010654490107</v>
      </c>
      <c r="M43" s="859">
        <v>185.32876712328766</v>
      </c>
      <c r="N43" s="859">
        <v>168.84018264840182</v>
      </c>
      <c r="O43" s="859">
        <v>1991.3013698630136</v>
      </c>
    </row>
    <row r="44" spans="1:15">
      <c r="A44" s="866"/>
      <c r="B44" s="867" t="s">
        <v>55</v>
      </c>
      <c r="C44" s="865">
        <v>0.42292419866292341</v>
      </c>
      <c r="D44" s="859">
        <v>0.461226798085274</v>
      </c>
      <c r="E44" s="859">
        <v>0.40480701258306234</v>
      </c>
      <c r="F44" s="859">
        <v>0.47379370240956553</v>
      </c>
      <c r="G44" s="859">
        <v>0.41742239098382178</v>
      </c>
      <c r="H44" s="859">
        <v>0.36025933630910301</v>
      </c>
      <c r="I44" s="859">
        <v>0.45297004706024924</v>
      </c>
      <c r="J44" s="859">
        <v>0.42910060390620264</v>
      </c>
      <c r="K44" s="859">
        <v>0.46193775120680253</v>
      </c>
      <c r="L44" s="859">
        <v>0.46043505483629898</v>
      </c>
      <c r="M44" s="859">
        <v>0.49185433540021412</v>
      </c>
      <c r="N44" s="859">
        <v>0.4480943628688574</v>
      </c>
      <c r="O44" s="859">
        <v>5.284825594312375</v>
      </c>
    </row>
    <row r="45" spans="1:15">
      <c r="A45" s="868"/>
      <c r="B45" s="867" t="s">
        <v>184</v>
      </c>
      <c r="C45" s="874">
        <v>666.4545454545455</v>
      </c>
      <c r="D45" s="874">
        <v>687.0978260869565</v>
      </c>
      <c r="E45" s="874">
        <v>652.79999999999995</v>
      </c>
      <c r="F45" s="874">
        <v>692.54347826086962</v>
      </c>
      <c r="G45" s="874">
        <v>628.84523809523807</v>
      </c>
      <c r="H45" s="874">
        <v>581.61052631578946</v>
      </c>
      <c r="I45" s="874">
        <v>652.1521739130435</v>
      </c>
      <c r="J45" s="874">
        <v>713.25</v>
      </c>
      <c r="K45" s="874">
        <v>714.40952380952388</v>
      </c>
      <c r="L45" s="874">
        <v>683.09090909090912</v>
      </c>
      <c r="M45" s="874">
        <v>706.38043478260875</v>
      </c>
      <c r="N45" s="874">
        <v>0</v>
      </c>
      <c r="O45" s="874">
        <v>676.78584256210706</v>
      </c>
    </row>
    <row r="46" spans="1:15">
      <c r="A46" s="863" t="s">
        <v>71</v>
      </c>
      <c r="B46" s="864" t="s">
        <v>89</v>
      </c>
      <c r="C46" s="860">
        <v>504.63636363636363</v>
      </c>
      <c r="D46" s="860">
        <v>530.17391304347825</v>
      </c>
      <c r="E46" s="860">
        <v>491.9</v>
      </c>
      <c r="F46" s="860">
        <v>529.52173913043475</v>
      </c>
      <c r="G46" s="860">
        <v>497</v>
      </c>
      <c r="H46" s="860">
        <v>442.78947368421052</v>
      </c>
      <c r="I46" s="860">
        <v>490.26086956521738</v>
      </c>
      <c r="J46" s="860">
        <v>528.25</v>
      </c>
      <c r="K46" s="860">
        <v>524.52380952380952</v>
      </c>
      <c r="L46" s="860">
        <v>480.68181818181819</v>
      </c>
      <c r="M46" s="860">
        <v>504.26086956521738</v>
      </c>
      <c r="N46" s="860">
        <v>503.7</v>
      </c>
      <c r="O46" s="860">
        <v>502.98054474708169</v>
      </c>
    </row>
    <row r="47" spans="1:15">
      <c r="A47" s="869"/>
      <c r="B47" s="870" t="s">
        <v>171</v>
      </c>
      <c r="C47" s="860">
        <v>521.9545454545455</v>
      </c>
      <c r="D47" s="860">
        <v>551.3478260869565</v>
      </c>
      <c r="E47" s="860">
        <v>530.79999999999995</v>
      </c>
      <c r="F47" s="860">
        <v>555.04347826086962</v>
      </c>
      <c r="G47" s="860">
        <v>504.09523809523807</v>
      </c>
      <c r="H47" s="860">
        <v>457.21052631578948</v>
      </c>
      <c r="I47" s="860">
        <v>491.6521739130435</v>
      </c>
      <c r="J47" s="860">
        <v>559.5</v>
      </c>
      <c r="K47" s="860">
        <v>558.80952380952385</v>
      </c>
      <c r="L47" s="860">
        <v>543.09090909090912</v>
      </c>
      <c r="M47" s="860">
        <v>552.13043478260875</v>
      </c>
      <c r="N47" s="860">
        <v>569.75</v>
      </c>
      <c r="O47" s="860">
        <v>533.43968871595325</v>
      </c>
    </row>
    <row r="48" spans="1:15">
      <c r="A48" s="871"/>
      <c r="B48" s="872" t="s">
        <v>73</v>
      </c>
      <c r="C48" s="860">
        <v>242.21</v>
      </c>
      <c r="D48" s="860">
        <v>256.59913043478258</v>
      </c>
      <c r="E48" s="860">
        <v>258.81599999999997</v>
      </c>
      <c r="F48" s="860">
        <v>270.45347826086959</v>
      </c>
      <c r="G48" s="860">
        <v>261.83428571428573</v>
      </c>
      <c r="H48" s="860">
        <v>255.54473684210529</v>
      </c>
      <c r="I48" s="860">
        <v>259.93782608695653</v>
      </c>
      <c r="J48" s="860">
        <v>282.91899999999998</v>
      </c>
      <c r="K48" s="860">
        <v>285.48095238095237</v>
      </c>
      <c r="L48" s="860">
        <v>277.92500000000001</v>
      </c>
      <c r="M48" s="860">
        <v>287.99478260869563</v>
      </c>
      <c r="N48" s="860">
        <v>294.07900000000001</v>
      </c>
      <c r="O48" s="860">
        <v>269.38863813229568</v>
      </c>
    </row>
    <row r="49" spans="1:15">
      <c r="A49" s="873"/>
      <c r="B49" s="872" t="s">
        <v>72</v>
      </c>
      <c r="C49" s="874">
        <v>4495.318181818182</v>
      </c>
      <c r="D49" s="874">
        <v>4707.565217391304</v>
      </c>
      <c r="E49" s="874">
        <v>4665.8</v>
      </c>
      <c r="F49" s="874">
        <v>4849.347826086957</v>
      </c>
      <c r="G49" s="874">
        <v>4645.4285714285716</v>
      </c>
      <c r="H49" s="874">
        <v>4318</v>
      </c>
      <c r="I49" s="874">
        <v>4589.826086956522</v>
      </c>
      <c r="J49" s="874">
        <v>4989.3</v>
      </c>
      <c r="K49" s="874">
        <v>5047.2380952380954</v>
      </c>
      <c r="L49" s="874">
        <v>4898.318181818182</v>
      </c>
      <c r="M49" s="874">
        <v>4984</v>
      </c>
      <c r="N49" s="874">
        <v>5079.8</v>
      </c>
      <c r="O49" s="874">
        <v>4774.1361867704281</v>
      </c>
    </row>
    <row r="50" spans="1:15">
      <c r="A50" s="875"/>
      <c r="B50" s="872" t="s">
        <v>103</v>
      </c>
      <c r="C50" s="874"/>
      <c r="D50" s="860"/>
      <c r="E50" s="860"/>
      <c r="F50" s="860"/>
      <c r="G50" s="860"/>
      <c r="H50" s="860"/>
      <c r="I50" s="860"/>
      <c r="J50" s="860"/>
      <c r="K50" s="860"/>
      <c r="L50" s="860"/>
      <c r="M50" s="860"/>
      <c r="N50" s="860"/>
      <c r="O50" s="860" t="s">
        <v>104</v>
      </c>
    </row>
    <row r="51" spans="1:15">
      <c r="A51" s="868"/>
      <c r="B51" s="872" t="s">
        <v>102</v>
      </c>
      <c r="C51" s="860"/>
      <c r="D51" s="860"/>
      <c r="E51" s="860"/>
      <c r="F51" s="860"/>
      <c r="G51" s="860"/>
      <c r="H51" s="860"/>
      <c r="I51" s="860"/>
      <c r="J51" s="860"/>
      <c r="K51" s="860"/>
      <c r="L51" s="860"/>
      <c r="M51" s="860"/>
      <c r="N51" s="860"/>
      <c r="O51" s="860" t="s">
        <v>105</v>
      </c>
    </row>
    <row r="52" spans="1:15">
      <c r="A52" s="876" t="s">
        <v>70</v>
      </c>
      <c r="B52" s="870" t="s">
        <v>90</v>
      </c>
      <c r="C52" s="860">
        <v>166.5</v>
      </c>
      <c r="D52" s="860">
        <v>164.5</v>
      </c>
      <c r="E52" s="860">
        <v>146.4</v>
      </c>
      <c r="F52" s="860">
        <v>155.75</v>
      </c>
      <c r="G52" s="860">
        <v>155.25</v>
      </c>
      <c r="H52" s="860">
        <v>151.6</v>
      </c>
      <c r="I52" s="860">
        <v>166.75</v>
      </c>
      <c r="J52" s="860">
        <v>176.5</v>
      </c>
      <c r="K52" s="860">
        <v>163.4</v>
      </c>
      <c r="L52" s="860">
        <v>129.5</v>
      </c>
      <c r="M52" s="860">
        <v>172</v>
      </c>
      <c r="N52" s="860">
        <v>152.19999999999999</v>
      </c>
      <c r="O52" s="860">
        <v>157.98076923076923</v>
      </c>
    </row>
    <row r="53" spans="1:15">
      <c r="A53" s="869"/>
      <c r="B53" s="872" t="s">
        <v>172</v>
      </c>
      <c r="C53" s="860">
        <v>144.5</v>
      </c>
      <c r="D53" s="860">
        <v>135.75</v>
      </c>
      <c r="E53" s="860">
        <v>122</v>
      </c>
      <c r="F53" s="860">
        <v>137.5</v>
      </c>
      <c r="G53" s="860">
        <v>124.75</v>
      </c>
      <c r="H53" s="860">
        <v>124.4</v>
      </c>
      <c r="I53" s="860">
        <v>160.5</v>
      </c>
      <c r="J53" s="860">
        <v>153.75</v>
      </c>
      <c r="K53" s="860">
        <v>155.6</v>
      </c>
      <c r="L53" s="860">
        <v>140</v>
      </c>
      <c r="M53" s="860">
        <v>154.25</v>
      </c>
      <c r="N53" s="860">
        <v>168</v>
      </c>
      <c r="O53" s="860">
        <v>143.34615384615384</v>
      </c>
    </row>
    <row r="54" spans="1:15">
      <c r="A54" s="871"/>
      <c r="B54" s="872" t="s">
        <v>75</v>
      </c>
      <c r="C54" s="860">
        <v>76</v>
      </c>
      <c r="D54" s="860">
        <v>81.25</v>
      </c>
      <c r="E54" s="860">
        <v>82</v>
      </c>
      <c r="F54" s="860">
        <v>84.5</v>
      </c>
      <c r="G54" s="860">
        <v>82</v>
      </c>
      <c r="H54" s="860">
        <v>83.4</v>
      </c>
      <c r="I54" s="860">
        <v>92.5</v>
      </c>
      <c r="J54" s="860">
        <v>92.25</v>
      </c>
      <c r="K54" s="860">
        <v>87.8</v>
      </c>
      <c r="L54" s="860">
        <v>85</v>
      </c>
      <c r="M54" s="860">
        <v>95.5</v>
      </c>
      <c r="N54" s="860">
        <v>93</v>
      </c>
      <c r="O54" s="860">
        <v>86.288461538461533</v>
      </c>
    </row>
    <row r="55" spans="1:15">
      <c r="A55" s="873"/>
      <c r="B55" s="872" t="s">
        <v>74</v>
      </c>
      <c r="C55" s="874">
        <v>1269</v>
      </c>
      <c r="D55" s="874">
        <v>1355.25</v>
      </c>
      <c r="E55" s="874">
        <v>1279.5999999999999</v>
      </c>
      <c r="F55" s="874">
        <v>1298</v>
      </c>
      <c r="G55" s="874">
        <v>1307.5</v>
      </c>
      <c r="H55" s="874">
        <v>1311.8</v>
      </c>
      <c r="I55" s="874">
        <v>1470.5</v>
      </c>
      <c r="J55" s="874">
        <v>1402.5</v>
      </c>
      <c r="K55" s="874">
        <v>1410.2</v>
      </c>
      <c r="L55" s="874">
        <v>1324.25</v>
      </c>
      <c r="M55" s="874">
        <v>1489.75</v>
      </c>
      <c r="N55" s="874">
        <v>1555.4</v>
      </c>
      <c r="O55" s="874">
        <v>1374.0769230769231</v>
      </c>
    </row>
    <row r="56" spans="1:15">
      <c r="A56" s="875"/>
      <c r="B56" s="872" t="s">
        <v>103</v>
      </c>
      <c r="C56" s="874"/>
      <c r="D56" s="860"/>
      <c r="E56" s="860"/>
      <c r="F56" s="860"/>
      <c r="G56" s="860"/>
      <c r="H56" s="860"/>
      <c r="I56" s="860"/>
      <c r="J56" s="860"/>
      <c r="K56" s="860"/>
      <c r="L56" s="860"/>
      <c r="M56" s="860"/>
      <c r="N56" s="860"/>
      <c r="O56" s="860" t="s">
        <v>106</v>
      </c>
    </row>
    <row r="57" spans="1:15">
      <c r="A57" s="868"/>
      <c r="B57" s="872" t="s">
        <v>102</v>
      </c>
      <c r="C57" s="860"/>
      <c r="D57" s="860"/>
      <c r="E57" s="860"/>
      <c r="F57" s="860"/>
      <c r="G57" s="860"/>
      <c r="H57" s="860"/>
      <c r="I57" s="860"/>
      <c r="J57" s="860"/>
      <c r="K57" s="860"/>
      <c r="L57" s="860"/>
      <c r="M57" s="860"/>
      <c r="N57" s="860"/>
      <c r="O57" s="860" t="s">
        <v>105</v>
      </c>
    </row>
    <row r="58" spans="1:15">
      <c r="A58" s="863" t="s">
        <v>56</v>
      </c>
      <c r="B58" s="870" t="s">
        <v>57</v>
      </c>
      <c r="C58" s="860">
        <v>1.2118269364322423</v>
      </c>
      <c r="D58" s="860">
        <v>1.1936168433377239</v>
      </c>
      <c r="E58" s="860">
        <v>1.2201631559722392</v>
      </c>
      <c r="F58" s="860">
        <v>1.2064265950771953</v>
      </c>
      <c r="G58" s="860">
        <v>1.218027299087673</v>
      </c>
      <c r="H58" s="860">
        <v>1.2631221142679092</v>
      </c>
      <c r="I58" s="860">
        <v>1.2478022833997284</v>
      </c>
      <c r="J58" s="860">
        <v>1.2291546134086229</v>
      </c>
      <c r="K58" s="860">
        <v>1.2482807553760507</v>
      </c>
      <c r="L58" s="860">
        <v>1.2577018140089156</v>
      </c>
      <c r="M58" s="860">
        <v>1.2708059365019726</v>
      </c>
      <c r="N58" s="860">
        <v>1.270100070988573</v>
      </c>
      <c r="O58" s="860">
        <v>1.2359486342814119</v>
      </c>
    </row>
    <row r="59" spans="1:15">
      <c r="A59" s="868"/>
      <c r="B59" s="870" t="s">
        <v>189</v>
      </c>
      <c r="C59" s="860">
        <v>1.2248487161079886</v>
      </c>
      <c r="D59" s="860">
        <v>1.2133770608666341</v>
      </c>
      <c r="E59" s="860">
        <v>1.25261623702451</v>
      </c>
      <c r="F59" s="860">
        <v>1.2398044834359239</v>
      </c>
      <c r="G59" s="860">
        <v>1.2591156484493256</v>
      </c>
      <c r="H59" s="860">
        <v>1.3426702152373065</v>
      </c>
      <c r="I59" s="860">
        <v>1.2985087941608799</v>
      </c>
      <c r="J59" s="860">
        <v>1.2635373529898957</v>
      </c>
      <c r="K59" s="860">
        <v>1.2871140494301083</v>
      </c>
      <c r="L59" s="860">
        <v>1.3013146205368284</v>
      </c>
      <c r="M59" s="860">
        <v>1.3288070526002058</v>
      </c>
      <c r="N59" s="860">
        <v>1.3220554816255501</v>
      </c>
      <c r="O59" s="860">
        <v>1.2771594311794561</v>
      </c>
    </row>
    <row r="60" spans="1:15">
      <c r="A60" s="863" t="s">
        <v>58</v>
      </c>
      <c r="B60" s="870" t="s">
        <v>59</v>
      </c>
      <c r="C60" s="860">
        <v>2.0854967421263653</v>
      </c>
      <c r="D60" s="860">
        <v>2.0685592405863553</v>
      </c>
      <c r="E60" s="860">
        <v>1.9536995587388886</v>
      </c>
      <c r="F60" s="860">
        <v>1.965942842256563</v>
      </c>
      <c r="G60" s="860">
        <v>1.8681835853573692</v>
      </c>
      <c r="H60" s="860">
        <v>1.7454183004692185</v>
      </c>
      <c r="I60" s="860">
        <v>1.8553938828055592</v>
      </c>
      <c r="J60" s="860">
        <v>1.9076163726283843</v>
      </c>
      <c r="K60" s="860">
        <v>1.8905816112057194</v>
      </c>
      <c r="L60" s="860">
        <v>1.8940376015402669</v>
      </c>
      <c r="M60" s="860">
        <v>1.851209217817201</v>
      </c>
      <c r="N60" s="860">
        <v>1.8632366923832149</v>
      </c>
      <c r="O60" s="860">
        <v>1.9123054638296775</v>
      </c>
    </row>
    <row r="61" spans="1:15">
      <c r="A61" s="866"/>
      <c r="B61" s="870" t="s">
        <v>94</v>
      </c>
      <c r="C61" s="882">
        <v>2.554418007040872</v>
      </c>
      <c r="D61" s="882">
        <v>2.5099423315711884</v>
      </c>
      <c r="E61" s="882">
        <v>2.4472357895439525</v>
      </c>
      <c r="F61" s="882">
        <v>2.4373847500084502</v>
      </c>
      <c r="G61" s="882">
        <v>2.3522591864996296</v>
      </c>
      <c r="H61" s="882">
        <v>2.3435211651701393</v>
      </c>
      <c r="I61" s="882">
        <v>2.4092452734553196</v>
      </c>
      <c r="J61" s="882">
        <v>2.410344541991055</v>
      </c>
      <c r="K61" s="882">
        <v>2.4333941533770922</v>
      </c>
      <c r="L61" s="882">
        <v>2.4647388227308569</v>
      </c>
      <c r="M61" s="882">
        <v>2.4598998644740071</v>
      </c>
      <c r="N61" s="882">
        <v>2.463302282731088</v>
      </c>
      <c r="O61" s="882">
        <v>2.4423189584260765</v>
      </c>
    </row>
    <row r="62" spans="1:15">
      <c r="A62" s="863" t="s">
        <v>60</v>
      </c>
      <c r="B62" s="870" t="s">
        <v>61</v>
      </c>
      <c r="C62" s="860">
        <v>2.0854967421263653</v>
      </c>
      <c r="D62" s="860">
        <v>2.0685592405863553</v>
      </c>
      <c r="E62" s="860">
        <v>1.9536995587388886</v>
      </c>
      <c r="F62" s="860">
        <v>1.965942842256563</v>
      </c>
      <c r="G62" s="860">
        <v>1.8681835853573692</v>
      </c>
      <c r="H62" s="860">
        <v>1.7454183004692185</v>
      </c>
      <c r="I62" s="860">
        <v>1.8553938828055592</v>
      </c>
      <c r="J62" s="860">
        <v>1.9076163726283843</v>
      </c>
      <c r="K62" s="860">
        <v>1.8905816112057194</v>
      </c>
      <c r="L62" s="860">
        <v>1.8940376015402669</v>
      </c>
      <c r="M62" s="860">
        <v>1.851209217817201</v>
      </c>
      <c r="N62" s="860">
        <v>1.8632366923832149</v>
      </c>
      <c r="O62" s="860">
        <v>1.9123054638296775</v>
      </c>
    </row>
    <row r="63" spans="1:15">
      <c r="A63" s="870" t="s">
        <v>11</v>
      </c>
      <c r="B63" s="872" t="s">
        <v>11</v>
      </c>
      <c r="C63" s="883">
        <v>0.879</v>
      </c>
      <c r="D63" s="883">
        <v>0.85389999999999999</v>
      </c>
      <c r="E63" s="883">
        <v>0.86529999999999996</v>
      </c>
      <c r="F63" s="883">
        <v>0.89159999999999995</v>
      </c>
      <c r="G63" s="883">
        <v>0.90600000000000003</v>
      </c>
      <c r="H63" s="883">
        <v>0.90859999999999996</v>
      </c>
      <c r="I63" s="883">
        <v>0.9163</v>
      </c>
      <c r="J63" s="883">
        <v>0.93010000000000004</v>
      </c>
      <c r="K63" s="883">
        <v>0.93079999999999996</v>
      </c>
      <c r="L63" s="883">
        <v>0.93600000000000005</v>
      </c>
      <c r="M63" s="883">
        <v>0.94130000000000003</v>
      </c>
      <c r="N63" s="883">
        <v>0.94840000000000002</v>
      </c>
      <c r="O63" s="883">
        <v>0.90894166666666665</v>
      </c>
    </row>
    <row r="64" spans="1:15">
      <c r="A64" s="878" t="s">
        <v>69</v>
      </c>
      <c r="B64" s="870" t="s">
        <v>62</v>
      </c>
      <c r="C64" s="860">
        <v>18.427314744738297</v>
      </c>
      <c r="D64" s="860">
        <v>18.228449913630428</v>
      </c>
      <c r="E64" s="860">
        <v>17.801794888192536</v>
      </c>
      <c r="F64" s="860">
        <v>17.764671492162734</v>
      </c>
      <c r="G64" s="860">
        <v>17.620367907347916</v>
      </c>
      <c r="H64" s="860">
        <v>16.772264379813251</v>
      </c>
      <c r="I64" s="860">
        <v>17.508591521366775</v>
      </c>
      <c r="J64" s="860">
        <v>17.407306657402522</v>
      </c>
      <c r="K64" s="860">
        <v>17.544223009772786</v>
      </c>
      <c r="L64" s="860">
        <v>17.486480474353172</v>
      </c>
      <c r="M64" s="860">
        <v>17.176338152148151</v>
      </c>
      <c r="N64" s="860">
        <v>17.177952112091528</v>
      </c>
      <c r="O64" s="860">
        <v>17.572930580016784</v>
      </c>
    </row>
    <row r="65" spans="1:15">
      <c r="A65" s="863" t="s">
        <v>63</v>
      </c>
      <c r="B65" s="870" t="s">
        <v>76</v>
      </c>
      <c r="C65" s="860">
        <v>8.894083888935775</v>
      </c>
      <c r="D65" s="860">
        <v>8.9708265802269036</v>
      </c>
      <c r="E65" s="860">
        <v>9.2448627023095113</v>
      </c>
      <c r="F65" s="860">
        <v>9.1580123266563938</v>
      </c>
      <c r="G65" s="860">
        <v>9.6599123767798467</v>
      </c>
      <c r="H65" s="860">
        <v>9.6706173903674166</v>
      </c>
      <c r="I65" s="860">
        <v>9.5153580745602966</v>
      </c>
      <c r="J65" s="860">
        <v>9.1886435873206764</v>
      </c>
      <c r="K65" s="860">
        <v>9.4541913495090473</v>
      </c>
      <c r="L65" s="860">
        <v>9.3142718289324478</v>
      </c>
      <c r="M65" s="860">
        <v>9.3951840280423689</v>
      </c>
      <c r="N65" s="860">
        <v>9.4406582446808507</v>
      </c>
      <c r="O65" s="860">
        <v>9.3150264453638076</v>
      </c>
    </row>
    <row r="66" spans="1:15">
      <c r="A66" s="866"/>
      <c r="B66" s="870" t="s">
        <v>77</v>
      </c>
      <c r="C66" s="860">
        <v>8.8359355219849771</v>
      </c>
      <c r="D66" s="860">
        <v>8.8121478737362047</v>
      </c>
      <c r="E66" s="860">
        <v>9.1118385160938349</v>
      </c>
      <c r="F66" s="860">
        <v>9.0362095531587059</v>
      </c>
      <c r="G66" s="860">
        <v>9.4318181818181817</v>
      </c>
      <c r="H66" s="860">
        <v>9.6093093416657691</v>
      </c>
      <c r="I66" s="860">
        <v>9.4365900866784482</v>
      </c>
      <c r="J66" s="860">
        <v>9.1251610686367144</v>
      </c>
      <c r="K66" s="860">
        <v>9.2798019962671425</v>
      </c>
      <c r="L66" s="860">
        <v>9.2323829580430914</v>
      </c>
      <c r="M66" s="860">
        <v>9.2784424293225634</v>
      </c>
      <c r="N66" s="860">
        <v>9.2194148936170208</v>
      </c>
      <c r="O66" s="860">
        <v>9.1893951632729038</v>
      </c>
    </row>
    <row r="67" spans="1:15">
      <c r="A67" s="868"/>
      <c r="B67" s="872" t="s">
        <v>64</v>
      </c>
      <c r="C67" s="860">
        <v>7.291416997214955</v>
      </c>
      <c r="D67" s="860">
        <v>7.3827274832137073</v>
      </c>
      <c r="E67" s="860">
        <v>7.4677214038916171</v>
      </c>
      <c r="F67" s="860">
        <v>7.4900616332819725</v>
      </c>
      <c r="G67" s="860">
        <v>7.7435195326761592</v>
      </c>
      <c r="H67" s="860">
        <v>7.6075853895054415</v>
      </c>
      <c r="I67" s="860">
        <v>7.562568374989481</v>
      </c>
      <c r="J67" s="860">
        <v>7.4239326518340345</v>
      </c>
      <c r="K67" s="860">
        <v>7.4340663799399493</v>
      </c>
      <c r="L67" s="860">
        <v>7.3406771423942976</v>
      </c>
      <c r="M67" s="860">
        <v>7.3012268536157894</v>
      </c>
      <c r="N67" s="860">
        <v>7.2588098404255321</v>
      </c>
      <c r="O67" s="860">
        <v>7.4350947186536391</v>
      </c>
    </row>
    <row r="68" spans="1:15">
      <c r="A68" s="863" t="s">
        <v>65</v>
      </c>
      <c r="B68" s="864" t="s">
        <v>98</v>
      </c>
      <c r="C68" s="859">
        <v>346.57142857142856</v>
      </c>
      <c r="D68" s="859">
        <v>378.94285714285712</v>
      </c>
      <c r="E68" s="859">
        <v>321.82857142857142</v>
      </c>
      <c r="F68" s="859">
        <v>381.71428571428572</v>
      </c>
      <c r="G68" s="859">
        <v>317.8</v>
      </c>
      <c r="H68" s="859">
        <v>267.1142857142857</v>
      </c>
      <c r="I68" s="859">
        <v>343.34285714285716</v>
      </c>
      <c r="J68" s="859">
        <v>339.2</v>
      </c>
      <c r="K68" s="859">
        <v>360.68571428571431</v>
      </c>
      <c r="L68" s="859">
        <v>359.22857142857146</v>
      </c>
      <c r="M68" s="859">
        <v>383.82857142857142</v>
      </c>
      <c r="N68" s="859">
        <v>353.62857142857143</v>
      </c>
      <c r="O68" s="859">
        <v>4153.8857142857141</v>
      </c>
    </row>
    <row r="69" spans="1:15">
      <c r="A69" s="866"/>
      <c r="B69" s="864" t="s">
        <v>96</v>
      </c>
      <c r="C69" s="859">
        <v>132.53228571428571</v>
      </c>
      <c r="D69" s="859">
        <v>147.49342857142858</v>
      </c>
      <c r="E69" s="859">
        <v>128.40142857142857</v>
      </c>
      <c r="F69" s="859">
        <v>152.1537142857143</v>
      </c>
      <c r="G69" s="859">
        <v>133.07571428571427</v>
      </c>
      <c r="H69" s="859">
        <v>113.15085714285715</v>
      </c>
      <c r="I69" s="859">
        <v>140.92142857142858</v>
      </c>
      <c r="J69" s="859">
        <v>137.98857142857145</v>
      </c>
      <c r="K69" s="859">
        <v>144.68914285714285</v>
      </c>
      <c r="L69" s="859">
        <v>143.11571428571429</v>
      </c>
      <c r="M69" s="859">
        <v>152.42200000000003</v>
      </c>
      <c r="N69" s="859">
        <v>139.55714285714285</v>
      </c>
      <c r="O69" s="859">
        <v>1665.5014285714287</v>
      </c>
    </row>
    <row r="70" spans="1:15">
      <c r="A70" s="866"/>
      <c r="B70" s="864" t="s">
        <v>97</v>
      </c>
      <c r="C70" s="859">
        <v>2468.457142857143</v>
      </c>
      <c r="D70" s="859">
        <v>2733.0857142857144</v>
      </c>
      <c r="E70" s="859">
        <v>2346.5714285714284</v>
      </c>
      <c r="F70" s="859">
        <v>2777.7428571428572</v>
      </c>
      <c r="G70" s="859">
        <v>2423.9428571428571</v>
      </c>
      <c r="H70" s="859">
        <v>2017.3142857142857</v>
      </c>
      <c r="I70" s="859">
        <v>2567.6</v>
      </c>
      <c r="J70" s="859">
        <v>2469.1999999999998</v>
      </c>
      <c r="K70" s="859">
        <v>2617.4285714285716</v>
      </c>
      <c r="L70" s="859">
        <v>2589.3714285714286</v>
      </c>
      <c r="M70" s="859">
        <v>2737.542857142857</v>
      </c>
      <c r="N70" s="859">
        <v>2495.3714285714286</v>
      </c>
      <c r="O70" s="859">
        <v>30243.628571428573</v>
      </c>
    </row>
    <row r="71" spans="1:15">
      <c r="A71" s="866"/>
      <c r="B71" s="864" t="s">
        <v>66</v>
      </c>
      <c r="C71" s="859">
        <v>162.33199999999999</v>
      </c>
      <c r="D71" s="859">
        <v>178.96514285714284</v>
      </c>
      <c r="E71" s="859">
        <v>160.83771428571427</v>
      </c>
      <c r="F71" s="859">
        <v>188.64085714285716</v>
      </c>
      <c r="G71" s="859">
        <v>167.5577142857143</v>
      </c>
      <c r="H71" s="859">
        <v>151.92428571428573</v>
      </c>
      <c r="I71" s="859">
        <v>182.98771428571428</v>
      </c>
      <c r="J71" s="859">
        <v>174.35371428571429</v>
      </c>
      <c r="K71" s="859">
        <v>186.23142857142858</v>
      </c>
      <c r="L71" s="859">
        <v>186.23857142857145</v>
      </c>
      <c r="M71" s="859">
        <v>202.53942857142857</v>
      </c>
      <c r="N71" s="859">
        <v>184.5022857142857</v>
      </c>
      <c r="O71" s="859">
        <v>2127.1108571428572</v>
      </c>
    </row>
    <row r="72" spans="1:15">
      <c r="A72" s="866"/>
      <c r="B72" s="864" t="s">
        <v>67</v>
      </c>
      <c r="C72" s="859">
        <v>2991.3428571428572</v>
      </c>
      <c r="D72" s="859">
        <v>3262.2571428571428</v>
      </c>
      <c r="E72" s="859">
        <v>2863.2</v>
      </c>
      <c r="F72" s="859">
        <v>3351.1428571428573</v>
      </c>
      <c r="G72" s="859">
        <v>2952.4285714285716</v>
      </c>
      <c r="H72" s="859">
        <v>2548.1142857142859</v>
      </c>
      <c r="I72" s="859">
        <v>3203.8571428571427</v>
      </c>
      <c r="J72" s="859">
        <v>3035.0285714285715</v>
      </c>
      <c r="K72" s="859">
        <v>3267.2857142857142</v>
      </c>
      <c r="L72" s="859">
        <v>3256.6571428571428</v>
      </c>
      <c r="M72" s="859">
        <v>3478.8857142857141</v>
      </c>
      <c r="N72" s="859">
        <v>3169.3714285714286</v>
      </c>
      <c r="O72" s="859">
        <v>37379.571428571428</v>
      </c>
    </row>
    <row r="73" spans="1:15">
      <c r="A73" s="868"/>
      <c r="B73" s="864" t="s">
        <v>68</v>
      </c>
      <c r="C73" s="859">
        <v>162.33199999999999</v>
      </c>
      <c r="D73" s="859">
        <v>178.96514285714284</v>
      </c>
      <c r="E73" s="859">
        <v>160.83771428571427</v>
      </c>
      <c r="F73" s="859">
        <v>188.64085714285716</v>
      </c>
      <c r="G73" s="859">
        <v>167.5577142857143</v>
      </c>
      <c r="H73" s="859">
        <v>151.92428571428573</v>
      </c>
      <c r="I73" s="859">
        <v>182.98771428571428</v>
      </c>
      <c r="J73" s="859">
        <v>174.35371428571429</v>
      </c>
      <c r="K73" s="859">
        <v>186.23142857142858</v>
      </c>
      <c r="L73" s="859">
        <v>186.23857142857145</v>
      </c>
      <c r="M73" s="859">
        <v>202.53942857142857</v>
      </c>
      <c r="N73" s="859">
        <v>184.5022857142857</v>
      </c>
      <c r="O73" s="859">
        <v>2127.1108571428572</v>
      </c>
    </row>
    <row r="75" spans="1:15" hidden="1">
      <c r="A75" s="722" t="s">
        <v>49</v>
      </c>
      <c r="B75" s="861">
        <v>657</v>
      </c>
    </row>
    <row r="76" spans="1:15" hidden="1">
      <c r="A76" s="722" t="s">
        <v>50</v>
      </c>
      <c r="B76" s="861">
        <v>247555</v>
      </c>
      <c r="C76" s="856" t="s">
        <v>468</v>
      </c>
    </row>
    <row r="77" spans="1:15" hidden="1">
      <c r="A77" s="722" t="s">
        <v>173</v>
      </c>
      <c r="B77" s="861">
        <v>483</v>
      </c>
      <c r="C77" s="856" t="s">
        <v>469</v>
      </c>
    </row>
    <row r="78" spans="1:15" hidden="1">
      <c r="A78" s="722" t="s">
        <v>301</v>
      </c>
      <c r="B78" s="861">
        <v>61037</v>
      </c>
    </row>
    <row r="79" spans="1:15" hidden="1">
      <c r="A79" s="722" t="s">
        <v>51</v>
      </c>
      <c r="B79" s="861">
        <v>2790</v>
      </c>
    </row>
    <row r="80" spans="1:15" hidden="1">
      <c r="A80" s="722" t="s">
        <v>99</v>
      </c>
      <c r="B80" s="861">
        <v>35</v>
      </c>
    </row>
    <row r="81" spans="1:2" hidden="1">
      <c r="A81" s="722" t="s">
        <v>100</v>
      </c>
      <c r="B81" s="861">
        <v>8</v>
      </c>
    </row>
    <row r="82" spans="1:2" hidden="1">
      <c r="A82" s="722" t="s">
        <v>101</v>
      </c>
      <c r="B82" s="861">
        <v>43</v>
      </c>
    </row>
  </sheetData>
  <phoneticPr fontId="0" type="noConversion"/>
  <printOptions horizontalCentered="1"/>
  <pageMargins left="0.25" right="0.25" top="0.5" bottom="0.5" header="0.5" footer="0.5"/>
  <pageSetup scale="66" orientation="landscape" r:id="rId1"/>
  <headerFooter alignWithMargins="0"/>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N37"/>
  <sheetViews>
    <sheetView zoomScale="85" zoomScaleNormal="85" workbookViewId="0">
      <pane ySplit="6" topLeftCell="A7" activePane="bottomLeft" state="frozen"/>
      <selection activeCell="B43" sqref="B43:B53"/>
      <selection pane="bottomLeft" activeCell="A28" sqref="A28:XFD39"/>
    </sheetView>
  </sheetViews>
  <sheetFormatPr defaultColWidth="8.88671875" defaultRowHeight="13.2"/>
  <cols>
    <col min="1" max="1" width="59.6640625" style="85" bestFit="1" customWidth="1"/>
    <col min="2" max="2" width="16.5546875" style="85" bestFit="1" customWidth="1"/>
    <col min="3" max="3" width="15.6640625" style="85" bestFit="1" customWidth="1"/>
    <col min="4" max="4" width="17.88671875" style="85" bestFit="1" customWidth="1"/>
    <col min="5" max="5" width="17.109375" style="85" bestFit="1" customWidth="1"/>
    <col min="6" max="6" width="18.88671875" style="85" bestFit="1" customWidth="1"/>
    <col min="7" max="7" width="3" customWidth="1"/>
    <col min="8" max="8" width="16.5546875" style="85" bestFit="1" customWidth="1"/>
    <col min="9" max="9" width="17.88671875" style="85" bestFit="1" customWidth="1"/>
    <col min="10" max="10" width="9.44140625" style="85" bestFit="1" customWidth="1"/>
    <col min="11" max="11" width="3.5546875" style="85" customWidth="1"/>
    <col min="12" max="12" width="15.6640625" style="85" bestFit="1" customWidth="1"/>
    <col min="13" max="13" width="17.109375" style="85" bestFit="1" customWidth="1"/>
    <col min="14" max="14" width="9.109375" style="85" bestFit="1" customWidth="1"/>
    <col min="15" max="16384" width="8.88671875" style="85"/>
  </cols>
  <sheetData>
    <row r="1" spans="1:14" ht="21" customHeight="1">
      <c r="A1" s="146" t="s">
        <v>19</v>
      </c>
      <c r="B1" s="147" t="str">
        <f>Trips!B3</f>
        <v>FY 2020</v>
      </c>
      <c r="G1" s="85"/>
    </row>
    <row r="2" spans="1:14" ht="21" customHeight="1">
      <c r="A2" s="148" t="s">
        <v>348</v>
      </c>
      <c r="G2" s="85"/>
    </row>
    <row r="3" spans="1:14" ht="15.6">
      <c r="A3" s="149" t="s">
        <v>346</v>
      </c>
      <c r="G3" s="85"/>
    </row>
    <row r="4" spans="1:14" ht="15.6">
      <c r="A4" s="149"/>
    </row>
    <row r="5" spans="1:14">
      <c r="A5" s="1111" t="s">
        <v>344</v>
      </c>
      <c r="B5" s="1114" t="s">
        <v>347</v>
      </c>
      <c r="C5" s="1115"/>
      <c r="D5" s="1115"/>
      <c r="E5" s="1115"/>
      <c r="F5" s="1116"/>
      <c r="H5" s="1117" t="s">
        <v>345</v>
      </c>
      <c r="I5" s="1118"/>
      <c r="J5" s="1119"/>
      <c r="L5" s="1117" t="s">
        <v>345</v>
      </c>
      <c r="M5" s="1118"/>
      <c r="N5" s="1119"/>
    </row>
    <row r="6" spans="1:14" s="150" customFormat="1">
      <c r="A6" s="1112"/>
      <c r="B6" s="270" t="s">
        <v>43</v>
      </c>
      <c r="C6" s="270" t="s">
        <v>42</v>
      </c>
      <c r="D6" s="270" t="s">
        <v>41</v>
      </c>
      <c r="E6" s="271" t="s">
        <v>40</v>
      </c>
      <c r="F6" s="276" t="s">
        <v>34</v>
      </c>
      <c r="H6" s="270" t="s">
        <v>43</v>
      </c>
      <c r="I6" s="270" t="s">
        <v>41</v>
      </c>
      <c r="J6" s="276" t="s">
        <v>228</v>
      </c>
      <c r="L6" s="270" t="s">
        <v>42</v>
      </c>
      <c r="M6" s="270" t="s">
        <v>40</v>
      </c>
      <c r="N6" s="276" t="s">
        <v>228</v>
      </c>
    </row>
    <row r="7" spans="1:14" s="150" customFormat="1">
      <c r="A7" s="1113"/>
      <c r="B7" s="271" t="s">
        <v>20</v>
      </c>
      <c r="C7" s="271" t="s">
        <v>20</v>
      </c>
      <c r="D7" s="271" t="s">
        <v>20</v>
      </c>
      <c r="E7" s="271" t="s">
        <v>20</v>
      </c>
      <c r="F7" s="276" t="s">
        <v>20</v>
      </c>
      <c r="H7" s="271" t="s">
        <v>339</v>
      </c>
      <c r="I7" s="271" t="s">
        <v>340</v>
      </c>
      <c r="J7" s="276" t="s">
        <v>341</v>
      </c>
      <c r="L7" s="271" t="s">
        <v>339</v>
      </c>
      <c r="M7" s="271" t="s">
        <v>340</v>
      </c>
      <c r="N7" s="276" t="s">
        <v>342</v>
      </c>
    </row>
    <row r="8" spans="1:14">
      <c r="A8" s="95" t="s">
        <v>8</v>
      </c>
      <c r="B8" s="151">
        <f>'OpStatTotals(AllServices)'!C7</f>
        <v>7294.82</v>
      </c>
      <c r="C8" s="152">
        <f>'OpStatTotals(AllServices)'!C8</f>
        <v>124232</v>
      </c>
      <c r="D8" s="151">
        <f>'OpStatTotals(AllServices)'!C9</f>
        <v>5509.4</v>
      </c>
      <c r="E8" s="151">
        <f>'OpStatTotals(AllServices)'!C10</f>
        <v>97974</v>
      </c>
      <c r="F8" s="151">
        <f>'OpStatTotals(AllServices)'!C12</f>
        <v>13721</v>
      </c>
      <c r="H8" s="151">
        <f>'OpStatsTotals(DR)'!C90</f>
        <v>6535.57</v>
      </c>
      <c r="I8" s="151">
        <f>'OpStatsTotals(MBTrailblazers)'!C18</f>
        <v>663</v>
      </c>
      <c r="J8" s="151">
        <f>H8+I8</f>
        <v>7198.57</v>
      </c>
      <c r="L8" s="152">
        <f>'OpStatsTotals(DR)'!C93</f>
        <v>109250</v>
      </c>
      <c r="M8" s="151">
        <f>'OpStatsTotals(MBTrailblazers)'!C22</f>
        <v>11906</v>
      </c>
      <c r="N8" s="151">
        <f>L8+M8</f>
        <v>121156</v>
      </c>
    </row>
    <row r="9" spans="1:14">
      <c r="A9" s="93" t="s">
        <v>78</v>
      </c>
      <c r="B9" s="151">
        <f>'OpStatTotals(AllServices)'!D7</f>
        <v>7340.08</v>
      </c>
      <c r="C9" s="152">
        <f>'OpStatTotals(AllServices)'!D8</f>
        <v>127770</v>
      </c>
      <c r="D9" s="151">
        <f>'OpStatTotals(AllServices)'!D9</f>
        <v>5692.15</v>
      </c>
      <c r="E9" s="151">
        <f>'OpStatTotals(AllServices)'!D10</f>
        <v>102140</v>
      </c>
      <c r="F9" s="151">
        <f>'OpStatTotals(AllServices)'!D12</f>
        <v>14302</v>
      </c>
      <c r="H9" s="151">
        <f>'OpStatsTotals(DR)'!D90</f>
        <v>6566.92</v>
      </c>
      <c r="I9" s="151">
        <f>'OpStatsTotals(MBTrailblazers)'!D18</f>
        <v>673</v>
      </c>
      <c r="J9" s="151">
        <f t="shared" ref="J9:J10" si="0">H9+I9</f>
        <v>7239.92</v>
      </c>
      <c r="L9" s="152">
        <f>'OpStatsTotals(DR)'!D93</f>
        <v>112518</v>
      </c>
      <c r="M9" s="151">
        <f>'OpStatsTotals(MBTrailblazers)'!D22</f>
        <v>12257</v>
      </c>
      <c r="N9" s="151">
        <f t="shared" ref="N9:N10" si="1">L9+M9</f>
        <v>124775</v>
      </c>
    </row>
    <row r="10" spans="1:14">
      <c r="A10" s="93" t="s">
        <v>79</v>
      </c>
      <c r="B10" s="151">
        <f>'OpStatTotals(AllServices)'!E7</f>
        <v>6609.45</v>
      </c>
      <c r="C10" s="152">
        <f>'OpStatTotals(AllServices)'!E8</f>
        <v>116338</v>
      </c>
      <c r="D10" s="151">
        <f>'OpStatTotals(AllServices)'!E9</f>
        <v>5199.12</v>
      </c>
      <c r="E10" s="151">
        <f>'OpStatTotals(AllServices)'!E10</f>
        <v>94250</v>
      </c>
      <c r="F10" s="151">
        <f>'OpStatTotals(AllServices)'!E12</f>
        <v>13100</v>
      </c>
      <c r="H10" s="151">
        <f>'OpStatsTotals(DR)'!E90</f>
        <v>5913.66</v>
      </c>
      <c r="I10" s="151">
        <f>'OpStatsTotals(MBTrailblazers)'!E18</f>
        <v>606</v>
      </c>
      <c r="J10" s="151">
        <f t="shared" si="0"/>
        <v>6519.66</v>
      </c>
      <c r="L10" s="152">
        <f>'OpStatsTotals(DR)'!E93</f>
        <v>102507</v>
      </c>
      <c r="M10" s="151">
        <f>'OpStatsTotals(MBTrailblazers)'!E22</f>
        <v>11080</v>
      </c>
      <c r="N10" s="151">
        <f t="shared" si="1"/>
        <v>113587</v>
      </c>
    </row>
    <row r="11" spans="1:14">
      <c r="A11" s="207" t="s">
        <v>284</v>
      </c>
      <c r="B11" s="151">
        <v>0</v>
      </c>
      <c r="C11" s="151">
        <v>0</v>
      </c>
      <c r="D11" s="151">
        <v>0</v>
      </c>
      <c r="E11" s="151">
        <v>0</v>
      </c>
      <c r="F11" s="151">
        <v>0</v>
      </c>
      <c r="H11" s="151"/>
      <c r="I11" s="151"/>
      <c r="J11" s="151"/>
      <c r="L11" s="151"/>
      <c r="M11" s="151"/>
      <c r="N11" s="151"/>
    </row>
    <row r="12" spans="1:14" s="154" customFormat="1">
      <c r="A12" s="153" t="s">
        <v>253</v>
      </c>
      <c r="B12" s="281">
        <f>SUM(B8:B11)</f>
        <v>21244.35</v>
      </c>
      <c r="C12" s="281">
        <f t="shared" ref="C12:D12" si="2">SUM(C8:C11)</f>
        <v>368340</v>
      </c>
      <c r="D12" s="281">
        <f t="shared" si="2"/>
        <v>16400.669999999998</v>
      </c>
      <c r="E12" s="281">
        <f>SUM(E8:E11)</f>
        <v>294364</v>
      </c>
      <c r="F12" s="269">
        <f>SUM(F8:F11)</f>
        <v>41123</v>
      </c>
      <c r="H12" s="281">
        <f>SUM(H8:H11)</f>
        <v>19016.150000000001</v>
      </c>
      <c r="I12" s="281">
        <f>SUM(I8:I11)</f>
        <v>1942</v>
      </c>
      <c r="J12" s="269">
        <f>SUM(J8:J11)</f>
        <v>20958.150000000001</v>
      </c>
      <c r="L12" s="281">
        <f>SUM(L8:L11)</f>
        <v>324275</v>
      </c>
      <c r="M12" s="281">
        <f>SUM(M8:M11)</f>
        <v>35243</v>
      </c>
      <c r="N12" s="269">
        <f>SUM(N8:N11)</f>
        <v>359518</v>
      </c>
    </row>
    <row r="13" spans="1:14">
      <c r="A13" s="95" t="s">
        <v>80</v>
      </c>
      <c r="B13" s="151">
        <f>'OpStatTotals(AllServices)'!F7</f>
        <v>7400.6</v>
      </c>
      <c r="C13" s="152">
        <f>'OpStatTotals(AllServices)'!F8</f>
        <v>131496</v>
      </c>
      <c r="D13" s="151">
        <f>'OpStatTotals(AllServices)'!F9</f>
        <v>5887.18</v>
      </c>
      <c r="E13" s="151">
        <f>'OpStatTotals(AllServices)'!F10</f>
        <v>106728</v>
      </c>
      <c r="F13" s="151">
        <f>'OpStatTotals(AllServices)'!F12</f>
        <v>14931</v>
      </c>
      <c r="H13" s="151">
        <f>'OpStatsTotals(DR)'!F90</f>
        <v>6607.9800000000005</v>
      </c>
      <c r="I13" s="151">
        <f>'OpStatsTotals(MBTrailblazers)'!F18</f>
        <v>690</v>
      </c>
      <c r="J13" s="151">
        <f>H13+I13</f>
        <v>7297.9800000000005</v>
      </c>
      <c r="L13" s="152">
        <f>'OpStatsTotals(DR)'!F93</f>
        <v>115960</v>
      </c>
      <c r="M13" s="151">
        <f>'OpStatsTotals(MBTrailblazers)'!F22</f>
        <v>12638</v>
      </c>
      <c r="N13" s="151">
        <f>L13+M13</f>
        <v>128598</v>
      </c>
    </row>
    <row r="14" spans="1:14">
      <c r="A14" s="93" t="s">
        <v>81</v>
      </c>
      <c r="B14" s="151">
        <f>'OpStatTotals(AllServices)'!G7</f>
        <v>6297.58</v>
      </c>
      <c r="C14" s="152">
        <f>'OpStatTotals(AllServices)'!G8</f>
        <v>108468</v>
      </c>
      <c r="D14" s="151">
        <f>'OpStatTotals(AllServices)'!G9</f>
        <v>4809.2</v>
      </c>
      <c r="E14" s="151">
        <f>'OpStatTotals(AllServices)'!G10</f>
        <v>85967</v>
      </c>
      <c r="F14" s="151">
        <f>'OpStatTotals(AllServices)'!G12</f>
        <v>12274</v>
      </c>
      <c r="H14" s="151">
        <f>'OpStatsTotals(DR)'!G90</f>
        <v>5589.3</v>
      </c>
      <c r="I14" s="151">
        <f>'OpStatsTotals(MBTrailblazers)'!G18</f>
        <v>614</v>
      </c>
      <c r="J14" s="151">
        <f t="shared" ref="J14:J15" si="3">H14+I14</f>
        <v>6203.3</v>
      </c>
      <c r="L14" s="152">
        <f>'OpStatsTotals(DR)'!G93</f>
        <v>94794</v>
      </c>
      <c r="M14" s="151">
        <f>'OpStatsTotals(MBTrailblazers)'!G22</f>
        <v>11211</v>
      </c>
      <c r="N14" s="151">
        <f t="shared" ref="N14:N15" si="4">L14+M14</f>
        <v>106005</v>
      </c>
    </row>
    <row r="15" spans="1:14">
      <c r="A15" s="93" t="s">
        <v>82</v>
      </c>
      <c r="B15" s="151">
        <f>'OpStatTotals(AllServices)'!H7</f>
        <v>6297.03</v>
      </c>
      <c r="C15" s="152">
        <f>'OpStatTotals(AllServices)'!H8</f>
        <v>108532</v>
      </c>
      <c r="D15" s="151">
        <f>'OpStatTotals(AllServices)'!H9</f>
        <v>4840.67</v>
      </c>
      <c r="E15" s="151">
        <f>'OpStatTotals(AllServices)'!H10</f>
        <v>86544</v>
      </c>
      <c r="F15" s="151">
        <f>'OpStatTotals(AllServices)'!H12</f>
        <v>12170.206</v>
      </c>
      <c r="H15" s="151">
        <f>'OpStatsTotals(DR)'!H90</f>
        <v>5564.4299999999994</v>
      </c>
      <c r="I15" s="151">
        <f>'OpStatsTotals(MBTrailblazers)'!H18</f>
        <v>632</v>
      </c>
      <c r="J15" s="151">
        <f t="shared" si="3"/>
        <v>6196.4299999999994</v>
      </c>
      <c r="L15" s="152">
        <f>'OpStatsTotals(DR)'!H93</f>
        <v>94430</v>
      </c>
      <c r="M15" s="151">
        <f>'OpStatsTotals(MBTrailblazers)'!H22</f>
        <v>11468</v>
      </c>
      <c r="N15" s="151">
        <f t="shared" si="4"/>
        <v>105898</v>
      </c>
    </row>
    <row r="16" spans="1:14">
      <c r="A16" s="207" t="s">
        <v>284</v>
      </c>
      <c r="B16" s="151">
        <v>0</v>
      </c>
      <c r="C16" s="151">
        <v>0</v>
      </c>
      <c r="D16" s="151">
        <v>0</v>
      </c>
      <c r="E16" s="151">
        <v>0</v>
      </c>
      <c r="F16" s="151">
        <v>0</v>
      </c>
      <c r="H16" s="151"/>
      <c r="I16" s="151"/>
      <c r="J16" s="151"/>
      <c r="L16" s="151"/>
      <c r="M16" s="151"/>
      <c r="N16" s="151"/>
    </row>
    <row r="17" spans="1:14" s="154" customFormat="1">
      <c r="A17" s="153" t="s">
        <v>253</v>
      </c>
      <c r="B17" s="281">
        <f>SUM(B13:B16)</f>
        <v>19995.21</v>
      </c>
      <c r="C17" s="281">
        <f t="shared" ref="C17:D17" si="5">SUM(C13:C16)</f>
        <v>348496</v>
      </c>
      <c r="D17" s="281">
        <f t="shared" si="5"/>
        <v>15537.050000000001</v>
      </c>
      <c r="E17" s="281">
        <f>SUM(E13:E16)</f>
        <v>279239</v>
      </c>
      <c r="F17" s="269">
        <f>SUM(F13:F16)</f>
        <v>39375.205999999998</v>
      </c>
      <c r="H17" s="281">
        <f>SUM(H13:H16)</f>
        <v>17761.71</v>
      </c>
      <c r="I17" s="281">
        <f>SUM(I13:I16)</f>
        <v>1936</v>
      </c>
      <c r="J17" s="269">
        <f>SUM(J13:J16)</f>
        <v>19697.71</v>
      </c>
      <c r="L17" s="281">
        <f>SUM(L13:L16)</f>
        <v>305184</v>
      </c>
      <c r="M17" s="281">
        <f>SUM(M13:M16)</f>
        <v>35317</v>
      </c>
      <c r="N17" s="269">
        <f>SUM(N13:N16)</f>
        <v>340501</v>
      </c>
    </row>
    <row r="18" spans="1:14">
      <c r="A18" s="95" t="s">
        <v>83</v>
      </c>
      <c r="B18" s="151">
        <f>'OpStatTotals(AllServices)'!I7</f>
        <v>0</v>
      </c>
      <c r="C18" s="152">
        <f>'OpStatTotals(AllServices)'!I8</f>
        <v>0</v>
      </c>
      <c r="D18" s="151">
        <f>'OpStatTotals(AllServices)'!I9</f>
        <v>0</v>
      </c>
      <c r="E18" s="151">
        <f>'OpStatTotals(AllServices)'!I10</f>
        <v>0</v>
      </c>
      <c r="F18" s="151">
        <f>'OpStatTotals(AllServices)'!I12</f>
        <v>0</v>
      </c>
      <c r="H18" s="151">
        <f>'OpStatsTotals(DR)'!I90</f>
        <v>0</v>
      </c>
      <c r="I18" s="151">
        <f>'OpStatsTotals(MBTrailblazers)'!I18</f>
        <v>0</v>
      </c>
      <c r="J18" s="151">
        <f>H18+I18</f>
        <v>0</v>
      </c>
      <c r="L18" s="152">
        <f>'OpStatsTotals(DR)'!I93</f>
        <v>0</v>
      </c>
      <c r="M18" s="151">
        <f>'OpStatsTotals(MBTrailblazers)'!I22</f>
        <v>0</v>
      </c>
      <c r="N18" s="151">
        <f>L18+M18</f>
        <v>0</v>
      </c>
    </row>
    <row r="19" spans="1:14">
      <c r="A19" s="93" t="s">
        <v>84</v>
      </c>
      <c r="B19" s="151">
        <f>'OpStatTotals(AllServices)'!J7</f>
        <v>0</v>
      </c>
      <c r="C19" s="152">
        <f>'OpStatTotals(AllServices)'!J8</f>
        <v>0</v>
      </c>
      <c r="D19" s="151">
        <f>'OpStatTotals(AllServices)'!J9</f>
        <v>0</v>
      </c>
      <c r="E19" s="151">
        <f>'OpStatTotals(AllServices)'!J10</f>
        <v>0</v>
      </c>
      <c r="F19" s="151">
        <f>'OpStatTotals(AllServices)'!J12</f>
        <v>0</v>
      </c>
      <c r="H19" s="151">
        <f>'OpStatsTotals(DR)'!J90</f>
        <v>0</v>
      </c>
      <c r="I19" s="151">
        <f>'OpStatsTotals(MBTrailblazers)'!J18</f>
        <v>0</v>
      </c>
      <c r="J19" s="151">
        <f t="shared" ref="J19:J20" si="6">H19+I19</f>
        <v>0</v>
      </c>
      <c r="L19" s="152">
        <f>'OpStatsTotals(DR)'!J93</f>
        <v>0</v>
      </c>
      <c r="M19" s="151">
        <f>'OpStatsTotals(MBTrailblazers)'!J22</f>
        <v>0</v>
      </c>
      <c r="N19" s="151">
        <f t="shared" ref="N19:N20" si="7">L19+M19</f>
        <v>0</v>
      </c>
    </row>
    <row r="20" spans="1:14">
      <c r="A20" s="93" t="s">
        <v>85</v>
      </c>
      <c r="B20" s="151">
        <f>'OpStatTotals(AllServices)'!K7</f>
        <v>0</v>
      </c>
      <c r="C20" s="152">
        <f>'OpStatTotals(AllServices)'!K8</f>
        <v>0</v>
      </c>
      <c r="D20" s="151">
        <f>'OpStatTotals(AllServices)'!K9</f>
        <v>0</v>
      </c>
      <c r="E20" s="151">
        <f>'OpStatTotals(AllServices)'!K10</f>
        <v>0</v>
      </c>
      <c r="F20" s="151">
        <f>'OpStatTotals(AllServices)'!K12</f>
        <v>0</v>
      </c>
      <c r="H20" s="151">
        <f>'OpStatsTotals(DR)'!K90</f>
        <v>0</v>
      </c>
      <c r="I20" s="151">
        <f>'OpStatsTotals(MBTrailblazers)'!K18</f>
        <v>0</v>
      </c>
      <c r="J20" s="151">
        <f t="shared" si="6"/>
        <v>0</v>
      </c>
      <c r="L20" s="152">
        <f>'OpStatsTotals(DR)'!K93</f>
        <v>0</v>
      </c>
      <c r="M20" s="151">
        <f>'OpStatsTotals(MBTrailblazers)'!K22</f>
        <v>0</v>
      </c>
      <c r="N20" s="151">
        <f t="shared" si="7"/>
        <v>0</v>
      </c>
    </row>
    <row r="21" spans="1:14">
      <c r="A21" s="207" t="s">
        <v>284</v>
      </c>
      <c r="B21" s="151">
        <v>0</v>
      </c>
      <c r="C21" s="151">
        <v>0</v>
      </c>
      <c r="D21" s="151">
        <v>0</v>
      </c>
      <c r="E21" s="151">
        <v>0</v>
      </c>
      <c r="F21" s="151">
        <v>0</v>
      </c>
      <c r="H21" s="151"/>
      <c r="I21" s="151"/>
      <c r="J21" s="151"/>
      <c r="L21" s="151"/>
      <c r="M21" s="151"/>
      <c r="N21" s="151"/>
    </row>
    <row r="22" spans="1:14" s="154" customFormat="1">
      <c r="A22" s="153" t="s">
        <v>253</v>
      </c>
      <c r="B22" s="281">
        <f>SUM(B18:B21)</f>
        <v>0</v>
      </c>
      <c r="C22" s="281">
        <f t="shared" ref="C22:D22" si="8">SUM(C18:C21)</f>
        <v>0</v>
      </c>
      <c r="D22" s="281">
        <f t="shared" si="8"/>
        <v>0</v>
      </c>
      <c r="E22" s="281">
        <f>SUM(E18:E21)</f>
        <v>0</v>
      </c>
      <c r="F22" s="269">
        <f>SUM(F18:F21)</f>
        <v>0</v>
      </c>
      <c r="H22" s="281">
        <f>SUM(H18:H21)</f>
        <v>0</v>
      </c>
      <c r="I22" s="281">
        <f>SUM(I18:I21)</f>
        <v>0</v>
      </c>
      <c r="J22" s="269">
        <f>SUM(J18:J21)</f>
        <v>0</v>
      </c>
      <c r="L22" s="281">
        <f>SUM(L18:L21)</f>
        <v>0</v>
      </c>
      <c r="M22" s="281">
        <f>SUM(M18:M21)</f>
        <v>0</v>
      </c>
      <c r="N22" s="269">
        <f>SUM(N18:N21)</f>
        <v>0</v>
      </c>
    </row>
    <row r="23" spans="1:14">
      <c r="A23" s="95" t="s">
        <v>4</v>
      </c>
      <c r="B23" s="151">
        <f>'OpStatTotals(AllServices)'!L7</f>
        <v>0</v>
      </c>
      <c r="C23" s="152">
        <f>'OpStatTotals(AllServices)'!L8</f>
        <v>0</v>
      </c>
      <c r="D23" s="151">
        <f>'OpStatTotals(AllServices)'!L9</f>
        <v>0</v>
      </c>
      <c r="E23" s="151">
        <f>'OpStatTotals(AllServices)'!L10</f>
        <v>0</v>
      </c>
      <c r="F23" s="151">
        <f>'OpStatTotals(AllServices)'!L12</f>
        <v>0</v>
      </c>
      <c r="H23" s="151">
        <f>'OpStatsTotals(DR)'!L90</f>
        <v>0</v>
      </c>
      <c r="I23" s="151">
        <f>'OpStatsTotals(MBTrailblazers)'!L18</f>
        <v>0</v>
      </c>
      <c r="J23" s="151">
        <f>H23+I23</f>
        <v>0</v>
      </c>
      <c r="L23" s="152">
        <f>'OpStatsTotals(DR)'!L93</f>
        <v>0</v>
      </c>
      <c r="M23" s="151">
        <f>'OpStatsTotals(MBTrailblazers)'!L22</f>
        <v>0</v>
      </c>
      <c r="N23" s="151">
        <f>L23+M23</f>
        <v>0</v>
      </c>
    </row>
    <row r="24" spans="1:14">
      <c r="A24" s="93" t="s">
        <v>5</v>
      </c>
      <c r="B24" s="151">
        <f>'OpStatTotals(AllServices)'!M7</f>
        <v>0</v>
      </c>
      <c r="C24" s="152">
        <f>'OpStatTotals(AllServices)'!M8</f>
        <v>0</v>
      </c>
      <c r="D24" s="151">
        <f>'OpStatTotals(AllServices)'!M9</f>
        <v>0</v>
      </c>
      <c r="E24" s="151">
        <f>'OpStatTotals(AllServices)'!M10</f>
        <v>0</v>
      </c>
      <c r="F24" s="151">
        <f>'OpStatTotals(AllServices)'!M12</f>
        <v>0</v>
      </c>
      <c r="H24" s="151">
        <f>'OpStatsTotals(DR)'!M90</f>
        <v>0</v>
      </c>
      <c r="I24" s="151">
        <f>'OpStatsTotals(MBTrailblazers)'!M18</f>
        <v>0</v>
      </c>
      <c r="J24" s="151">
        <f t="shared" ref="J24:J25" si="9">H24+I24</f>
        <v>0</v>
      </c>
      <c r="L24" s="152">
        <f>'OpStatsTotals(DR)'!M93</f>
        <v>0</v>
      </c>
      <c r="M24" s="151">
        <f>'OpStatsTotals(MBTrailblazers)'!M22</f>
        <v>0</v>
      </c>
      <c r="N24" s="151">
        <f t="shared" ref="N24:N25" si="10">L24+M24</f>
        <v>0</v>
      </c>
    </row>
    <row r="25" spans="1:14">
      <c r="A25" s="93" t="s">
        <v>6</v>
      </c>
      <c r="B25" s="151">
        <f>'OpStatTotals(AllServices)'!N7</f>
        <v>0</v>
      </c>
      <c r="C25" s="152">
        <f>'OpStatTotals(AllServices)'!N8</f>
        <v>0</v>
      </c>
      <c r="D25" s="151">
        <f>'OpStatTotals(AllServices)'!N9</f>
        <v>0</v>
      </c>
      <c r="E25" s="151">
        <f>'OpStatTotals(AllServices)'!N10</f>
        <v>0</v>
      </c>
      <c r="F25" s="151">
        <f>'OpStatTotals(AllServices)'!N12</f>
        <v>0</v>
      </c>
      <c r="H25" s="151">
        <f>'OpStatsTotals(DR)'!N90</f>
        <v>0</v>
      </c>
      <c r="I25" s="151">
        <f>'OpStatsTotals(MBTrailblazers)'!N18</f>
        <v>0</v>
      </c>
      <c r="J25" s="151">
        <f t="shared" si="9"/>
        <v>0</v>
      </c>
      <c r="L25" s="152">
        <f>'OpStatsTotals(DR)'!N93</f>
        <v>0</v>
      </c>
      <c r="M25" s="151">
        <f>'OpStatsTotals(MBTrailblazers)'!N22</f>
        <v>0</v>
      </c>
      <c r="N25" s="151">
        <f t="shared" si="10"/>
        <v>0</v>
      </c>
    </row>
    <row r="26" spans="1:14">
      <c r="A26" s="207" t="s">
        <v>284</v>
      </c>
      <c r="B26" s="151">
        <v>0</v>
      </c>
      <c r="C26" s="151">
        <v>0</v>
      </c>
      <c r="D26" s="151">
        <v>0</v>
      </c>
      <c r="E26" s="151">
        <v>0</v>
      </c>
      <c r="F26" s="151">
        <v>0</v>
      </c>
      <c r="H26" s="151"/>
      <c r="I26" s="151"/>
      <c r="J26" s="151"/>
      <c r="L26" s="151"/>
      <c r="M26" s="151"/>
      <c r="N26" s="151"/>
    </row>
    <row r="27" spans="1:14" s="154" customFormat="1">
      <c r="A27" s="153" t="s">
        <v>253</v>
      </c>
      <c r="B27" s="281">
        <f>SUM(B23:B26)</f>
        <v>0</v>
      </c>
      <c r="C27" s="281">
        <f t="shared" ref="C27:D27" si="11">SUM(C23:C26)</f>
        <v>0</v>
      </c>
      <c r="D27" s="281">
        <f t="shared" si="11"/>
        <v>0</v>
      </c>
      <c r="E27" s="281">
        <f>SUM(E23:E26)</f>
        <v>0</v>
      </c>
      <c r="F27" s="281">
        <f>SUM(F23:F26)</f>
        <v>0</v>
      </c>
      <c r="H27" s="281">
        <f>SUM(H23:H26)</f>
        <v>0</v>
      </c>
      <c r="I27" s="281">
        <f>SUM(I23:I26)</f>
        <v>0</v>
      </c>
      <c r="J27" s="281">
        <f>SUM(J23:J26)</f>
        <v>0</v>
      </c>
      <c r="L27" s="281">
        <f>SUM(L23:L26)</f>
        <v>0</v>
      </c>
      <c r="M27" s="281">
        <f>SUM(M23:M26)</f>
        <v>0</v>
      </c>
      <c r="N27" s="281">
        <f>SUM(N23:N26)</f>
        <v>0</v>
      </c>
    </row>
    <row r="28" spans="1:14" s="154" customFormat="1">
      <c r="A28" s="280" t="s">
        <v>254</v>
      </c>
      <c r="B28" s="282">
        <f>B12+B17+B22+B27</f>
        <v>41239.56</v>
      </c>
      <c r="C28" s="282">
        <f t="shared" ref="C28:D28" si="12">C12+C17+C22+C27</f>
        <v>716836</v>
      </c>
      <c r="D28" s="282">
        <f t="shared" si="12"/>
        <v>31937.72</v>
      </c>
      <c r="E28" s="282">
        <f>E12+E17+E22+E27</f>
        <v>573603</v>
      </c>
      <c r="F28" s="279">
        <f>F12+F17+F22+F27</f>
        <v>80498.206000000006</v>
      </c>
      <c r="G28" s="283"/>
      <c r="H28" s="281">
        <f>H12+H17+H22+H27</f>
        <v>36777.86</v>
      </c>
      <c r="I28" s="281">
        <f>I12+I17+I22+I27</f>
        <v>3878</v>
      </c>
      <c r="J28" s="269">
        <f>J12+J17+J22+J27</f>
        <v>40655.86</v>
      </c>
      <c r="K28" s="283"/>
      <c r="L28" s="281">
        <f>L12+L17+L22+L27</f>
        <v>629459</v>
      </c>
      <c r="M28" s="281">
        <f>M12+M17+M22+M27</f>
        <v>70560</v>
      </c>
      <c r="N28" s="269">
        <f>N12+N17+N22+N27</f>
        <v>700019</v>
      </c>
    </row>
    <row r="29" spans="1:14" s="157" customFormat="1">
      <c r="A29" s="155"/>
      <c r="B29" s="156"/>
      <c r="C29" s="156"/>
      <c r="D29" s="156"/>
      <c r="E29" s="156"/>
      <c r="F29" s="156"/>
      <c r="H29" s="156"/>
      <c r="I29" s="156"/>
      <c r="J29" s="156"/>
      <c r="L29" s="156"/>
      <c r="M29" s="156"/>
      <c r="N29" s="156"/>
    </row>
    <row r="30" spans="1:14" s="158" customFormat="1">
      <c r="A30" s="273" t="s">
        <v>493</v>
      </c>
      <c r="B30" s="272">
        <v>41239.56</v>
      </c>
      <c r="C30" s="272">
        <v>716836</v>
      </c>
      <c r="D30" s="272">
        <v>31937.71</v>
      </c>
      <c r="E30" s="272">
        <v>573603</v>
      </c>
      <c r="F30" s="272">
        <v>80498</v>
      </c>
      <c r="H30" s="268"/>
      <c r="I30" s="268"/>
      <c r="J30" s="268"/>
      <c r="L30" s="268"/>
      <c r="M30" s="268"/>
      <c r="N30" s="268"/>
    </row>
    <row r="31" spans="1:14" s="158" customFormat="1">
      <c r="A31" s="273" t="s">
        <v>224</v>
      </c>
      <c r="B31" s="274">
        <f>B30-B28</f>
        <v>0</v>
      </c>
      <c r="C31" s="274">
        <f>C30-C28</f>
        <v>0</v>
      </c>
      <c r="D31" s="274">
        <f>D30-D28</f>
        <v>-1.0000000002037268E-2</v>
      </c>
      <c r="E31" s="274">
        <f>E30-E28</f>
        <v>0</v>
      </c>
      <c r="F31" s="274">
        <f>F30-F28</f>
        <v>-0.20600000000558794</v>
      </c>
      <c r="H31" s="268"/>
      <c r="I31" s="268"/>
      <c r="J31" s="268"/>
      <c r="L31" s="268"/>
      <c r="M31" s="268"/>
      <c r="N31" s="268"/>
    </row>
    <row r="32" spans="1:14" s="154" customFormat="1">
      <c r="A32" s="273" t="s">
        <v>255</v>
      </c>
      <c r="B32" s="275">
        <f>B11+B16+B21+B26</f>
        <v>0</v>
      </c>
      <c r="C32" s="275">
        <f t="shared" ref="C32:D32" si="13">C11+C16+C21+C26</f>
        <v>0</v>
      </c>
      <c r="D32" s="275">
        <f t="shared" si="13"/>
        <v>0</v>
      </c>
      <c r="E32" s="275">
        <f>E11+E16+E21+E26</f>
        <v>0</v>
      </c>
      <c r="F32" s="275">
        <f>F11+F16+F21+F26</f>
        <v>0</v>
      </c>
      <c r="H32" s="268"/>
      <c r="I32" s="268"/>
      <c r="J32" s="268"/>
      <c r="L32" s="268"/>
      <c r="M32" s="268"/>
      <c r="N32" s="268"/>
    </row>
    <row r="33" spans="1:14" s="158" customFormat="1">
      <c r="A33" s="273" t="s">
        <v>330</v>
      </c>
      <c r="B33" s="277">
        <f>B31+B32</f>
        <v>0</v>
      </c>
      <c r="C33" s="277">
        <f>C31+C32</f>
        <v>0</v>
      </c>
      <c r="D33" s="277">
        <f>D31+D32</f>
        <v>-1.0000000002037268E-2</v>
      </c>
      <c r="E33" s="277">
        <f>E31+E32</f>
        <v>0</v>
      </c>
      <c r="F33" s="277">
        <f>F31+F32</f>
        <v>-0.20600000000558794</v>
      </c>
      <c r="H33" s="268"/>
      <c r="I33" s="268"/>
      <c r="J33" s="268"/>
      <c r="L33" s="268"/>
      <c r="M33" s="268"/>
      <c r="N33" s="268"/>
    </row>
    <row r="34" spans="1:14" s="158" customFormat="1">
      <c r="A34" s="273" t="s">
        <v>256</v>
      </c>
      <c r="B34" s="278">
        <f>B33/B28</f>
        <v>0</v>
      </c>
      <c r="C34" s="278">
        <f>C33/C28</f>
        <v>0</v>
      </c>
      <c r="D34" s="278">
        <f>D33/D28</f>
        <v>-3.1310938921241928E-7</v>
      </c>
      <c r="E34" s="278">
        <f>E33/E28</f>
        <v>0</v>
      </c>
      <c r="F34" s="278">
        <f>F33/F28</f>
        <v>-2.5590632418017855E-6</v>
      </c>
      <c r="H34" s="268"/>
      <c r="I34" s="268"/>
      <c r="J34" s="268"/>
      <c r="L34" s="268"/>
      <c r="M34" s="268"/>
      <c r="N34" s="268"/>
    </row>
    <row r="37" spans="1:14" ht="26.4">
      <c r="A37" s="267" t="s">
        <v>343</v>
      </c>
    </row>
  </sheetData>
  <mergeCells count="4">
    <mergeCell ref="A5:A7"/>
    <mergeCell ref="B5:F5"/>
    <mergeCell ref="H5:J5"/>
    <mergeCell ref="L5:N5"/>
  </mergeCells>
  <printOptions horizontalCentered="1"/>
  <pageMargins left="0.25" right="0.25" top="0.75" bottom="0.75" header="0.3" footer="0.3"/>
  <pageSetup scale="57" orientation="landscape" r:id="rId1"/>
  <customProperties>
    <customPr name="DrillPoint.Mode" r:id="rId2"/>
    <customPr name="DrillPoint.SaveEntireSheet" r:id="rId3"/>
    <customPr name="DrillPoint.Subsheet" r:id="rId4"/>
    <customPr name="DrillPoint.WorksheetID" r:id="rId5"/>
  </customProperties>
  <legacyDrawing r:id="rId6"/>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XFC245"/>
  <sheetViews>
    <sheetView zoomScale="85" zoomScaleNormal="85" workbookViewId="0">
      <pane xSplit="1" ySplit="11" topLeftCell="B12" activePane="bottomRight" state="frozen"/>
      <selection activeCell="B43" sqref="B43:B53"/>
      <selection pane="topRight" activeCell="B43" sqref="B43:B53"/>
      <selection pane="bottomLeft" activeCell="B43" sqref="B43:B53"/>
      <selection pane="bottomRight" activeCell="D21" sqref="D21"/>
    </sheetView>
  </sheetViews>
  <sheetFormatPr defaultColWidth="8.88671875" defaultRowHeight="13.2"/>
  <cols>
    <col min="1" max="1" width="36.5546875" style="87" bestFit="1" customWidth="1"/>
    <col min="2" max="4" width="12.6640625" style="87" bestFit="1" customWidth="1"/>
    <col min="5" max="7" width="12.6640625" style="87" customWidth="1"/>
    <col min="8" max="13" width="12.6640625" style="87" hidden="1" customWidth="1"/>
    <col min="14" max="14" width="12.33203125" style="87" bestFit="1" customWidth="1"/>
    <col min="15" max="15" width="11.109375" style="89" bestFit="1" customWidth="1"/>
    <col min="16" max="16" width="7.33203125" style="87" bestFit="1" customWidth="1"/>
    <col min="17" max="16384" width="8.88671875" style="85"/>
  </cols>
  <sheetData>
    <row r="1" spans="1:16383" ht="19.95" customHeight="1">
      <c r="A1" s="1120"/>
      <c r="B1" s="1123" t="s">
        <v>190</v>
      </c>
      <c r="C1" s="1124"/>
      <c r="D1" s="1124"/>
      <c r="E1" s="1124"/>
      <c r="F1" s="1124"/>
      <c r="G1" s="1124"/>
      <c r="H1" s="1124"/>
      <c r="I1" s="1124"/>
      <c r="J1" s="1124"/>
      <c r="K1" s="1124"/>
      <c r="L1" s="1124"/>
      <c r="M1" s="1124"/>
      <c r="N1" s="1124"/>
      <c r="O1" s="1124"/>
      <c r="P1" s="1125"/>
    </row>
    <row r="2" spans="1:16383" ht="12.75" customHeight="1">
      <c r="A2" s="1121"/>
      <c r="B2" s="1126"/>
      <c r="C2" s="1127"/>
      <c r="D2" s="1127"/>
      <c r="E2" s="1127"/>
      <c r="F2" s="1127"/>
      <c r="G2" s="1127"/>
      <c r="H2" s="1127"/>
      <c r="I2" s="1127"/>
      <c r="J2" s="1127"/>
      <c r="K2" s="1127"/>
      <c r="L2" s="1127"/>
      <c r="M2" s="1127"/>
      <c r="N2" s="1127"/>
      <c r="O2" s="1127"/>
      <c r="P2" s="1128"/>
    </row>
    <row r="3" spans="1:16383" ht="12.75" customHeight="1">
      <c r="A3" s="1121"/>
      <c r="B3" s="1126" t="s">
        <v>191</v>
      </c>
      <c r="C3" s="1127"/>
      <c r="D3" s="1127"/>
      <c r="E3" s="1127"/>
      <c r="F3" s="1127"/>
      <c r="G3" s="1127"/>
      <c r="H3" s="1127"/>
      <c r="I3" s="1127"/>
      <c r="J3" s="1127"/>
      <c r="K3" s="1127"/>
      <c r="L3" s="1127"/>
      <c r="M3" s="1127"/>
      <c r="N3" s="1127"/>
      <c r="O3" s="1127"/>
      <c r="P3" s="1128"/>
      <c r="R3" s="297" t="s">
        <v>333</v>
      </c>
      <c r="S3" s="298"/>
      <c r="T3" s="297"/>
      <c r="U3" s="297"/>
      <c r="V3" s="297"/>
      <c r="W3" s="297"/>
      <c r="X3" s="297"/>
      <c r="Y3" s="297"/>
      <c r="Z3" s="253"/>
    </row>
    <row r="4" spans="1:16383" ht="12.75" customHeight="1">
      <c r="A4" s="1121"/>
      <c r="B4" s="1126"/>
      <c r="C4" s="1127"/>
      <c r="D4" s="1127"/>
      <c r="E4" s="1127"/>
      <c r="F4" s="1127"/>
      <c r="G4" s="1127"/>
      <c r="H4" s="1127"/>
      <c r="I4" s="1127"/>
      <c r="J4" s="1127"/>
      <c r="K4" s="1127"/>
      <c r="L4" s="1127"/>
      <c r="M4" s="1127"/>
      <c r="N4" s="1127"/>
      <c r="O4" s="1127"/>
      <c r="P4" s="1128"/>
      <c r="R4" s="297" t="s">
        <v>334</v>
      </c>
      <c r="S4" s="298"/>
      <c r="T4" s="297"/>
      <c r="U4" s="297"/>
      <c r="V4" s="297"/>
      <c r="W4" s="297"/>
      <c r="X4" s="297"/>
      <c r="Y4" s="297"/>
      <c r="Z4" s="253"/>
    </row>
    <row r="5" spans="1:16383" ht="12.75" customHeight="1">
      <c r="A5" s="1121"/>
      <c r="B5" s="1129"/>
      <c r="C5" s="1130"/>
      <c r="D5" s="1130"/>
      <c r="E5" s="1130"/>
      <c r="F5" s="1130"/>
      <c r="G5" s="1130"/>
      <c r="H5" s="1130"/>
      <c r="I5" s="1130"/>
      <c r="J5" s="1130"/>
      <c r="K5" s="1130"/>
      <c r="L5" s="1130"/>
      <c r="M5" s="1130"/>
      <c r="N5" s="1130"/>
      <c r="O5" s="1130"/>
      <c r="P5" s="1131"/>
      <c r="R5" s="297" t="s">
        <v>335</v>
      </c>
      <c r="S5" s="298"/>
      <c r="T5" s="297"/>
      <c r="U5" s="297"/>
      <c r="V5" s="297"/>
      <c r="W5" s="297"/>
      <c r="X5" s="297"/>
      <c r="Y5" s="297"/>
      <c r="Z5" s="253"/>
    </row>
    <row r="6" spans="1:16383">
      <c r="A6" s="1121"/>
      <c r="B6" s="1132" t="s">
        <v>86</v>
      </c>
      <c r="C6" s="1132"/>
      <c r="D6" s="1132"/>
      <c r="E6" s="1132"/>
      <c r="F6" s="1132"/>
      <c r="G6" s="1132"/>
      <c r="H6" s="1132"/>
      <c r="I6" s="1132"/>
      <c r="J6" s="1132"/>
      <c r="K6" s="1132"/>
      <c r="L6" s="1132"/>
      <c r="M6" s="1132"/>
      <c r="N6" s="1132"/>
      <c r="O6" s="1132"/>
      <c r="P6" s="1132"/>
      <c r="R6" s="297"/>
      <c r="S6" s="298"/>
      <c r="T6" s="297"/>
      <c r="U6" s="297"/>
      <c r="V6" s="297"/>
      <c r="W6" s="297"/>
      <c r="X6" s="297"/>
      <c r="Y6" s="297"/>
      <c r="Z6" s="253"/>
    </row>
    <row r="7" spans="1:16383">
      <c r="A7" s="1121"/>
      <c r="B7" s="1132"/>
      <c r="C7" s="1132"/>
      <c r="D7" s="1132"/>
      <c r="E7" s="1132"/>
      <c r="F7" s="1132"/>
      <c r="G7" s="1132"/>
      <c r="H7" s="1132"/>
      <c r="I7" s="1132"/>
      <c r="J7" s="1132"/>
      <c r="K7" s="1132"/>
      <c r="L7" s="1132"/>
      <c r="M7" s="1132"/>
      <c r="N7" s="1132"/>
      <c r="O7" s="1132"/>
      <c r="P7" s="1132"/>
      <c r="S7" s="253"/>
      <c r="T7" s="253"/>
      <c r="U7" s="253"/>
      <c r="V7" s="253"/>
      <c r="W7" s="253"/>
      <c r="X7" s="253"/>
      <c r="Y7" s="253"/>
      <c r="Z7" s="253"/>
    </row>
    <row r="8" spans="1:16383">
      <c r="A8" s="1121"/>
      <c r="B8" s="1132"/>
      <c r="C8" s="1132"/>
      <c r="D8" s="1132"/>
      <c r="E8" s="1132"/>
      <c r="F8" s="1132"/>
      <c r="G8" s="1132"/>
      <c r="H8" s="1132"/>
      <c r="I8" s="1132"/>
      <c r="J8" s="1132"/>
      <c r="K8" s="1132"/>
      <c r="L8" s="1132"/>
      <c r="M8" s="1132"/>
      <c r="N8" s="1132"/>
      <c r="O8" s="1132"/>
      <c r="P8" s="1132"/>
    </row>
    <row r="9" spans="1:16383">
      <c r="A9" s="1121"/>
      <c r="B9" s="1133" t="str">
        <f>Trips!B3</f>
        <v>FY 2020</v>
      </c>
      <c r="C9" s="1133"/>
      <c r="D9" s="1133"/>
      <c r="E9" s="1133"/>
      <c r="F9" s="1133"/>
      <c r="G9" s="1133"/>
      <c r="H9" s="1133"/>
      <c r="I9" s="1133"/>
      <c r="J9" s="1133"/>
      <c r="K9" s="1133"/>
      <c r="L9" s="1133"/>
      <c r="M9" s="1133"/>
      <c r="N9" s="1133"/>
      <c r="O9" s="1133"/>
      <c r="P9" s="1133"/>
    </row>
    <row r="10" spans="1:16383" ht="13.8">
      <c r="A10" s="1121"/>
      <c r="B10" s="1133"/>
      <c r="C10" s="1133"/>
      <c r="D10" s="1133"/>
      <c r="E10" s="1133"/>
      <c r="F10" s="1133"/>
      <c r="G10" s="1133"/>
      <c r="H10" s="1133"/>
      <c r="I10" s="1133"/>
      <c r="J10" s="1133"/>
      <c r="K10" s="1133"/>
      <c r="L10" s="1133"/>
      <c r="M10" s="1133"/>
      <c r="N10" s="1133"/>
      <c r="O10" s="1133"/>
      <c r="P10" s="1133"/>
      <c r="S10" s="120"/>
    </row>
    <row r="11" spans="1:16383" s="115" customFormat="1" ht="15" customHeight="1">
      <c r="A11" s="1122"/>
      <c r="B11" s="112">
        <v>43647</v>
      </c>
      <c r="C11" s="112">
        <f t="shared" ref="C11:M11" si="0">B11+31</f>
        <v>43678</v>
      </c>
      <c r="D11" s="112">
        <f t="shared" si="0"/>
        <v>43709</v>
      </c>
      <c r="E11" s="112">
        <f t="shared" si="0"/>
        <v>43740</v>
      </c>
      <c r="F11" s="112">
        <f t="shared" si="0"/>
        <v>43771</v>
      </c>
      <c r="G11" s="112">
        <f t="shared" si="0"/>
        <v>43802</v>
      </c>
      <c r="H11" s="112">
        <f t="shared" si="0"/>
        <v>43833</v>
      </c>
      <c r="I11" s="112">
        <f t="shared" si="0"/>
        <v>43864</v>
      </c>
      <c r="J11" s="112">
        <f t="shared" si="0"/>
        <v>43895</v>
      </c>
      <c r="K11" s="112">
        <f t="shared" si="0"/>
        <v>43926</v>
      </c>
      <c r="L11" s="112">
        <f t="shared" si="0"/>
        <v>43957</v>
      </c>
      <c r="M11" s="112">
        <f t="shared" si="0"/>
        <v>43988</v>
      </c>
      <c r="N11" s="113" t="s">
        <v>492</v>
      </c>
      <c r="O11" s="114" t="e">
        <f>Trips!#REF!</f>
        <v>#REF!</v>
      </c>
      <c r="P11" s="114" t="s">
        <v>193</v>
      </c>
    </row>
    <row r="12" spans="1:16383" ht="7.95" customHeight="1">
      <c r="A12" s="128"/>
      <c r="B12" s="129"/>
      <c r="C12" s="129"/>
      <c r="D12" s="129"/>
      <c r="E12" s="129"/>
      <c r="F12" s="129"/>
      <c r="G12" s="129"/>
      <c r="H12" s="130"/>
      <c r="I12" s="130"/>
      <c r="J12" s="130"/>
      <c r="K12" s="130"/>
      <c r="L12" s="130"/>
      <c r="M12" s="130"/>
      <c r="N12" s="130"/>
      <c r="O12" s="130"/>
      <c r="P12" s="131"/>
    </row>
    <row r="13" spans="1:16383" ht="13.8">
      <c r="A13" s="116" t="s">
        <v>192</v>
      </c>
      <c r="N13" s="88"/>
      <c r="O13" s="88"/>
      <c r="P13" s="92"/>
    </row>
    <row r="14" spans="1:16383">
      <c r="A14" s="87" t="s">
        <v>194</v>
      </c>
      <c r="B14" s="519">
        <v>0</v>
      </c>
      <c r="C14" s="519">
        <v>0</v>
      </c>
      <c r="D14" s="519">
        <v>0</v>
      </c>
      <c r="E14" s="519">
        <v>0</v>
      </c>
      <c r="F14" s="519">
        <v>2</v>
      </c>
      <c r="G14" s="519">
        <v>0</v>
      </c>
      <c r="H14" s="519"/>
      <c r="I14" s="519"/>
      <c r="J14" s="519"/>
      <c r="K14" s="519"/>
      <c r="L14" s="519"/>
      <c r="M14" s="519"/>
      <c r="N14" s="132"/>
      <c r="O14" s="132"/>
      <c r="P14" s="132"/>
      <c r="R14" s="85" t="s">
        <v>195</v>
      </c>
    </row>
    <row r="15" spans="1:16383" ht="15">
      <c r="A15" s="87" t="s">
        <v>196</v>
      </c>
      <c r="B15" s="520">
        <v>0.02</v>
      </c>
      <c r="C15" s="520">
        <v>0.04</v>
      </c>
      <c r="D15" s="520">
        <v>0.06</v>
      </c>
      <c r="E15" s="520">
        <v>0.02</v>
      </c>
      <c r="F15" s="520">
        <v>0.04</v>
      </c>
      <c r="G15" s="520">
        <v>0.02</v>
      </c>
      <c r="H15" s="520"/>
      <c r="I15" s="520"/>
      <c r="J15" s="520"/>
      <c r="K15" s="520"/>
      <c r="L15" s="520"/>
      <c r="M15" s="520"/>
      <c r="N15" s="90">
        <f>MAX(B15:M15)</f>
        <v>0.06</v>
      </c>
      <c r="O15" s="90">
        <v>9.2999999999999999E-2</v>
      </c>
      <c r="P15" s="91" t="s">
        <v>212</v>
      </c>
      <c r="R15" s="517"/>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8"/>
      <c r="AY15" s="518"/>
      <c r="AZ15" s="518"/>
      <c r="BA15" s="518"/>
      <c r="BB15" s="518"/>
      <c r="BC15" s="518"/>
      <c r="BD15" s="518"/>
      <c r="BE15" s="518"/>
      <c r="BF15" s="518"/>
      <c r="BG15" s="518"/>
      <c r="BH15" s="518"/>
      <c r="BI15" s="518"/>
      <c r="BJ15" s="518"/>
      <c r="BK15" s="518"/>
      <c r="BL15" s="518"/>
      <c r="BM15" s="518"/>
      <c r="BN15" s="518"/>
      <c r="BO15" s="518"/>
      <c r="BP15" s="518"/>
      <c r="BQ15" s="518"/>
      <c r="BR15" s="518"/>
      <c r="BS15" s="518"/>
      <c r="BT15" s="518"/>
      <c r="BU15" s="518"/>
      <c r="BV15" s="518"/>
      <c r="BW15" s="518"/>
      <c r="BX15" s="518"/>
      <c r="BY15" s="518"/>
      <c r="BZ15" s="518"/>
      <c r="CA15" s="518"/>
      <c r="CB15" s="518"/>
      <c r="CC15" s="518"/>
      <c r="CD15" s="518"/>
      <c r="CE15" s="518"/>
      <c r="CF15" s="518"/>
      <c r="CG15" s="518"/>
      <c r="CH15" s="518"/>
      <c r="CI15" s="518"/>
      <c r="CJ15" s="518"/>
      <c r="CK15" s="518"/>
      <c r="CL15" s="518"/>
      <c r="CM15" s="518"/>
      <c r="CN15" s="518"/>
      <c r="CO15" s="518"/>
      <c r="CP15" s="518"/>
      <c r="CQ15" s="518"/>
      <c r="CR15" s="518"/>
      <c r="CS15" s="518"/>
      <c r="CT15" s="518"/>
      <c r="CU15" s="518"/>
      <c r="CV15" s="518"/>
      <c r="CW15" s="518"/>
      <c r="CX15" s="518"/>
      <c r="CY15" s="518"/>
      <c r="CZ15" s="518"/>
      <c r="DA15" s="518"/>
      <c r="DB15" s="518"/>
      <c r="DC15" s="518"/>
      <c r="DD15" s="518"/>
      <c r="DE15" s="518"/>
      <c r="DF15" s="518"/>
      <c r="DG15" s="518"/>
      <c r="DH15" s="518"/>
      <c r="DI15" s="518"/>
      <c r="DJ15" s="518"/>
      <c r="DK15" s="518"/>
      <c r="DL15" s="518"/>
      <c r="DM15" s="518"/>
      <c r="DN15" s="518"/>
      <c r="DO15" s="518"/>
      <c r="DP15" s="518"/>
      <c r="DQ15" s="518"/>
      <c r="DR15" s="518"/>
      <c r="DS15" s="518"/>
      <c r="DT15" s="518"/>
      <c r="DU15" s="518"/>
      <c r="DV15" s="518"/>
      <c r="DW15" s="518"/>
      <c r="DX15" s="518"/>
      <c r="DY15" s="518"/>
      <c r="DZ15" s="518"/>
      <c r="EA15" s="518"/>
      <c r="EB15" s="518"/>
      <c r="EC15" s="518"/>
      <c r="ED15" s="518"/>
      <c r="EE15" s="518"/>
      <c r="EF15" s="518"/>
      <c r="EG15" s="518"/>
      <c r="EH15" s="518"/>
      <c r="EI15" s="518"/>
      <c r="EJ15" s="518"/>
      <c r="EK15" s="518"/>
      <c r="EL15" s="518"/>
      <c r="EM15" s="518"/>
      <c r="EN15" s="518"/>
      <c r="EO15" s="518"/>
      <c r="EP15" s="518"/>
      <c r="EQ15" s="518"/>
      <c r="ER15" s="518"/>
      <c r="ES15" s="518"/>
      <c r="ET15" s="518"/>
      <c r="EU15" s="518"/>
      <c r="EV15" s="518"/>
      <c r="EW15" s="518"/>
      <c r="EX15" s="518"/>
      <c r="EY15" s="518"/>
      <c r="EZ15" s="518"/>
      <c r="FA15" s="518"/>
      <c r="FB15" s="518"/>
      <c r="FC15" s="518"/>
      <c r="FD15" s="518"/>
      <c r="FE15" s="518"/>
      <c r="FF15" s="518"/>
      <c r="FG15" s="518"/>
      <c r="FH15" s="518"/>
      <c r="FI15" s="518"/>
      <c r="FJ15" s="518"/>
      <c r="FK15" s="518"/>
      <c r="FL15" s="518"/>
      <c r="FM15" s="518"/>
      <c r="FN15" s="518"/>
      <c r="FO15" s="518"/>
      <c r="FP15" s="518"/>
      <c r="FQ15" s="518"/>
      <c r="FR15" s="518"/>
      <c r="FS15" s="518"/>
      <c r="FT15" s="518"/>
      <c r="FU15" s="518"/>
      <c r="FV15" s="518"/>
      <c r="FW15" s="518"/>
      <c r="FX15" s="518"/>
      <c r="FY15" s="518"/>
      <c r="FZ15" s="518"/>
      <c r="GA15" s="518"/>
      <c r="GB15" s="518"/>
      <c r="GC15" s="518"/>
      <c r="GD15" s="518"/>
      <c r="GE15" s="518"/>
      <c r="GF15" s="518"/>
      <c r="GG15" s="518"/>
      <c r="GH15" s="518"/>
      <c r="GI15" s="518"/>
      <c r="GJ15" s="518"/>
      <c r="GK15" s="518"/>
      <c r="GL15" s="518"/>
      <c r="GM15" s="518"/>
      <c r="GN15" s="518"/>
      <c r="GO15" s="518"/>
      <c r="GP15" s="518"/>
      <c r="GQ15" s="518"/>
      <c r="GR15" s="518"/>
      <c r="GS15" s="518"/>
      <c r="GT15" s="518"/>
      <c r="GU15" s="518"/>
      <c r="GV15" s="518"/>
      <c r="GW15" s="518"/>
      <c r="GX15" s="518"/>
      <c r="GY15" s="518"/>
      <c r="GZ15" s="518"/>
      <c r="HA15" s="518"/>
      <c r="HB15" s="518"/>
      <c r="HC15" s="518"/>
      <c r="HD15" s="518"/>
      <c r="HE15" s="518"/>
      <c r="HF15" s="518"/>
      <c r="HG15" s="518"/>
      <c r="HH15" s="518"/>
      <c r="HI15" s="518"/>
      <c r="HJ15" s="518"/>
      <c r="HK15" s="518"/>
      <c r="HL15" s="518"/>
      <c r="HM15" s="518"/>
      <c r="HN15" s="518"/>
      <c r="HO15" s="518"/>
      <c r="HP15" s="518"/>
      <c r="HQ15" s="518"/>
      <c r="HR15" s="518"/>
      <c r="HS15" s="518"/>
      <c r="HT15" s="518"/>
      <c r="HU15" s="518"/>
      <c r="HV15" s="518"/>
      <c r="HW15" s="518"/>
      <c r="HX15" s="518"/>
      <c r="HY15" s="518"/>
      <c r="HZ15" s="518"/>
      <c r="IA15" s="518"/>
      <c r="IB15" s="518"/>
      <c r="IC15" s="518"/>
      <c r="ID15" s="518"/>
      <c r="IE15" s="518"/>
      <c r="IF15" s="518"/>
      <c r="IG15" s="518"/>
      <c r="IH15" s="518"/>
      <c r="II15" s="518"/>
      <c r="IJ15" s="518"/>
      <c r="IK15" s="518"/>
      <c r="IL15" s="518"/>
      <c r="IM15" s="518"/>
      <c r="IN15" s="518"/>
      <c r="IO15" s="518"/>
      <c r="IP15" s="518"/>
      <c r="IQ15" s="518"/>
      <c r="IR15" s="518"/>
      <c r="IS15" s="518"/>
      <c r="IT15" s="518"/>
      <c r="IU15" s="518"/>
      <c r="IV15" s="518"/>
      <c r="IW15" s="518"/>
      <c r="IX15" s="518"/>
      <c r="IY15" s="518"/>
      <c r="IZ15" s="518"/>
      <c r="JA15" s="518"/>
      <c r="JB15" s="518"/>
      <c r="JC15" s="518"/>
      <c r="JD15" s="518"/>
      <c r="JE15" s="518"/>
      <c r="JF15" s="518"/>
      <c r="JG15" s="518"/>
      <c r="JH15" s="518"/>
      <c r="JI15" s="518"/>
      <c r="JJ15" s="518"/>
      <c r="JK15" s="518"/>
      <c r="JL15" s="518"/>
      <c r="JM15" s="518"/>
      <c r="JN15" s="518"/>
      <c r="JO15" s="518"/>
      <c r="JP15" s="518"/>
      <c r="JQ15" s="518"/>
      <c r="JR15" s="518"/>
      <c r="JS15" s="518"/>
      <c r="JT15" s="518"/>
      <c r="JU15" s="518"/>
      <c r="JV15" s="518"/>
      <c r="JW15" s="518"/>
      <c r="JX15" s="518"/>
      <c r="JY15" s="518"/>
      <c r="JZ15" s="518"/>
      <c r="KA15" s="518"/>
      <c r="KB15" s="518"/>
      <c r="KC15" s="518"/>
      <c r="KD15" s="518"/>
      <c r="KE15" s="518"/>
      <c r="KF15" s="518"/>
      <c r="KG15" s="518"/>
      <c r="KH15" s="518"/>
      <c r="KI15" s="518"/>
      <c r="KJ15" s="518"/>
      <c r="KK15" s="518"/>
      <c r="KL15" s="518"/>
      <c r="KM15" s="518"/>
      <c r="KN15" s="518"/>
      <c r="KO15" s="518"/>
      <c r="KP15" s="518"/>
      <c r="KQ15" s="518"/>
      <c r="KR15" s="518"/>
      <c r="KS15" s="518"/>
      <c r="KT15" s="518"/>
      <c r="KU15" s="518"/>
      <c r="KV15" s="518"/>
      <c r="KW15" s="518"/>
      <c r="KX15" s="518"/>
      <c r="KY15" s="518"/>
      <c r="KZ15" s="518"/>
      <c r="LA15" s="518"/>
      <c r="LB15" s="518"/>
      <c r="LC15" s="518"/>
      <c r="LD15" s="518"/>
      <c r="LE15" s="518"/>
      <c r="LF15" s="518"/>
      <c r="LG15" s="518"/>
      <c r="LH15" s="518"/>
      <c r="LI15" s="518"/>
      <c r="LJ15" s="518"/>
      <c r="LK15" s="518"/>
      <c r="LL15" s="518"/>
      <c r="LM15" s="518"/>
      <c r="LN15" s="518"/>
      <c r="LO15" s="518"/>
      <c r="LP15" s="518"/>
      <c r="LQ15" s="518"/>
      <c r="LR15" s="518"/>
      <c r="LS15" s="518"/>
      <c r="LT15" s="518"/>
      <c r="LU15" s="518"/>
      <c r="LV15" s="518"/>
      <c r="LW15" s="518"/>
      <c r="LX15" s="518"/>
      <c r="LY15" s="518"/>
      <c r="LZ15" s="518"/>
      <c r="MA15" s="518"/>
      <c r="MB15" s="518"/>
      <c r="MC15" s="518"/>
      <c r="MD15" s="518"/>
      <c r="ME15" s="518"/>
      <c r="MF15" s="518"/>
      <c r="MG15" s="518"/>
      <c r="MH15" s="518"/>
      <c r="MI15" s="518"/>
      <c r="MJ15" s="518"/>
      <c r="MK15" s="518"/>
      <c r="ML15" s="518"/>
      <c r="MM15" s="518"/>
      <c r="MN15" s="518"/>
      <c r="MO15" s="518"/>
      <c r="MP15" s="518"/>
      <c r="MQ15" s="518"/>
      <c r="MR15" s="518"/>
      <c r="MS15" s="518"/>
      <c r="MT15" s="518"/>
      <c r="MU15" s="518"/>
      <c r="MV15" s="518"/>
      <c r="MW15" s="518"/>
      <c r="MX15" s="518"/>
      <c r="MY15" s="518"/>
      <c r="MZ15" s="518"/>
      <c r="NA15" s="518"/>
      <c r="NB15" s="518"/>
      <c r="NC15" s="518"/>
      <c r="ND15" s="518"/>
      <c r="NE15" s="518"/>
      <c r="NF15" s="518"/>
      <c r="NG15" s="518"/>
      <c r="NH15" s="518"/>
      <c r="NI15" s="518"/>
      <c r="NJ15" s="518"/>
      <c r="NK15" s="518"/>
      <c r="NL15" s="518"/>
      <c r="NM15" s="518"/>
      <c r="NN15" s="518"/>
      <c r="NO15" s="518"/>
      <c r="NP15" s="518"/>
      <c r="NQ15" s="518"/>
      <c r="NR15" s="518"/>
      <c r="NS15" s="518"/>
      <c r="NT15" s="518"/>
      <c r="NU15" s="518"/>
      <c r="NV15" s="518"/>
      <c r="NW15" s="518"/>
      <c r="NX15" s="518"/>
      <c r="NY15" s="518"/>
      <c r="NZ15" s="518"/>
      <c r="OA15" s="518"/>
      <c r="OB15" s="518"/>
      <c r="OC15" s="518"/>
      <c r="OD15" s="518"/>
      <c r="OE15" s="518"/>
      <c r="OF15" s="518"/>
      <c r="OG15" s="518"/>
      <c r="OH15" s="518"/>
      <c r="OI15" s="518"/>
      <c r="OJ15" s="518"/>
      <c r="OK15" s="518"/>
      <c r="OL15" s="518"/>
      <c r="OM15" s="518"/>
      <c r="ON15" s="518"/>
      <c r="OO15" s="518"/>
      <c r="OP15" s="518"/>
      <c r="OQ15" s="518"/>
      <c r="OR15" s="518"/>
      <c r="OS15" s="518"/>
      <c r="OT15" s="518"/>
      <c r="OU15" s="518"/>
      <c r="OV15" s="518"/>
      <c r="OW15" s="518"/>
      <c r="OX15" s="518"/>
      <c r="OY15" s="518"/>
      <c r="OZ15" s="518"/>
      <c r="PA15" s="518"/>
      <c r="PB15" s="518"/>
      <c r="PC15" s="518"/>
      <c r="PD15" s="518"/>
      <c r="PE15" s="518"/>
      <c r="PF15" s="518"/>
      <c r="PG15" s="518"/>
      <c r="PH15" s="518"/>
      <c r="PI15" s="518"/>
      <c r="PJ15" s="518"/>
      <c r="PK15" s="518"/>
      <c r="PL15" s="518"/>
      <c r="PM15" s="518"/>
      <c r="PN15" s="518"/>
      <c r="PO15" s="518"/>
      <c r="PP15" s="518"/>
      <c r="PQ15" s="518"/>
      <c r="PR15" s="518"/>
      <c r="PS15" s="518"/>
      <c r="PT15" s="518"/>
      <c r="PU15" s="518"/>
      <c r="PV15" s="518"/>
      <c r="PW15" s="518"/>
      <c r="PX15" s="518"/>
      <c r="PY15" s="518"/>
      <c r="PZ15" s="518"/>
      <c r="QA15" s="518"/>
      <c r="QB15" s="518"/>
      <c r="QC15" s="518"/>
      <c r="QD15" s="518"/>
      <c r="QE15" s="518"/>
      <c r="QF15" s="518"/>
      <c r="QG15" s="518"/>
      <c r="QH15" s="518"/>
      <c r="QI15" s="518"/>
      <c r="QJ15" s="518"/>
      <c r="QK15" s="518"/>
      <c r="QL15" s="518"/>
      <c r="QM15" s="518"/>
      <c r="QN15" s="518"/>
      <c r="QO15" s="518"/>
      <c r="QP15" s="518"/>
      <c r="QQ15" s="518"/>
      <c r="QR15" s="518"/>
      <c r="QS15" s="518"/>
      <c r="QT15" s="518"/>
      <c r="QU15" s="518"/>
      <c r="QV15" s="518"/>
      <c r="QW15" s="518"/>
      <c r="QX15" s="518"/>
      <c r="QY15" s="518"/>
      <c r="QZ15" s="518"/>
      <c r="RA15" s="518"/>
      <c r="RB15" s="518"/>
      <c r="RC15" s="518"/>
      <c r="RD15" s="518"/>
      <c r="RE15" s="518"/>
      <c r="RF15" s="518"/>
      <c r="RG15" s="518"/>
      <c r="RH15" s="518"/>
      <c r="RI15" s="518"/>
      <c r="RJ15" s="518"/>
      <c r="RK15" s="518"/>
      <c r="RL15" s="518"/>
      <c r="RM15" s="518"/>
      <c r="RN15" s="518"/>
      <c r="RO15" s="518"/>
      <c r="RP15" s="518"/>
      <c r="RQ15" s="518"/>
      <c r="RR15" s="518"/>
      <c r="RS15" s="518"/>
      <c r="RT15" s="518"/>
      <c r="RU15" s="518"/>
      <c r="RV15" s="518"/>
      <c r="RW15" s="518"/>
      <c r="RX15" s="518"/>
      <c r="RY15" s="518"/>
      <c r="RZ15" s="518"/>
      <c r="SA15" s="518"/>
      <c r="SB15" s="518"/>
      <c r="SC15" s="518"/>
      <c r="SD15" s="518"/>
      <c r="SE15" s="518"/>
      <c r="SF15" s="518"/>
      <c r="SG15" s="518"/>
      <c r="SH15" s="518"/>
      <c r="SI15" s="518"/>
      <c r="SJ15" s="518"/>
      <c r="SK15" s="518"/>
      <c r="SL15" s="518"/>
      <c r="SM15" s="518"/>
      <c r="SN15" s="518"/>
      <c r="SO15" s="518"/>
      <c r="SP15" s="518"/>
      <c r="SQ15" s="518"/>
      <c r="SR15" s="518"/>
      <c r="SS15" s="518"/>
      <c r="ST15" s="518"/>
      <c r="SU15" s="518"/>
      <c r="SV15" s="518"/>
      <c r="SW15" s="518"/>
      <c r="SX15" s="518"/>
      <c r="SY15" s="518"/>
      <c r="SZ15" s="518"/>
      <c r="TA15" s="518"/>
      <c r="TB15" s="518"/>
      <c r="TC15" s="518"/>
      <c r="TD15" s="518"/>
      <c r="TE15" s="518"/>
      <c r="TF15" s="518"/>
      <c r="TG15" s="518"/>
      <c r="TH15" s="518"/>
      <c r="TI15" s="518"/>
      <c r="TJ15" s="518"/>
      <c r="TK15" s="518"/>
      <c r="TL15" s="518"/>
      <c r="TM15" s="518"/>
      <c r="TN15" s="518"/>
      <c r="TO15" s="518"/>
      <c r="TP15" s="518"/>
      <c r="TQ15" s="518"/>
      <c r="TR15" s="518"/>
      <c r="TS15" s="518"/>
      <c r="TT15" s="518"/>
      <c r="TU15" s="518"/>
      <c r="TV15" s="518"/>
      <c r="TW15" s="518"/>
      <c r="TX15" s="518"/>
      <c r="TY15" s="518"/>
      <c r="TZ15" s="518"/>
      <c r="UA15" s="518"/>
      <c r="UB15" s="518"/>
      <c r="UC15" s="518"/>
      <c r="UD15" s="518"/>
      <c r="UE15" s="518"/>
      <c r="UF15" s="518"/>
      <c r="UG15" s="518"/>
      <c r="UH15" s="518"/>
      <c r="UI15" s="518"/>
      <c r="UJ15" s="518"/>
      <c r="UK15" s="518"/>
      <c r="UL15" s="518"/>
      <c r="UM15" s="518"/>
      <c r="UN15" s="518"/>
      <c r="UO15" s="518"/>
      <c r="UP15" s="518"/>
      <c r="UQ15" s="518"/>
      <c r="UR15" s="518"/>
      <c r="US15" s="518"/>
      <c r="UT15" s="518"/>
      <c r="UU15" s="518"/>
      <c r="UV15" s="518"/>
      <c r="UW15" s="518"/>
      <c r="UX15" s="518"/>
      <c r="UY15" s="518"/>
      <c r="UZ15" s="518"/>
      <c r="VA15" s="518"/>
      <c r="VB15" s="518"/>
      <c r="VC15" s="518"/>
      <c r="VD15" s="518"/>
      <c r="VE15" s="518"/>
      <c r="VF15" s="518"/>
      <c r="VG15" s="518"/>
      <c r="VH15" s="518"/>
      <c r="VI15" s="518"/>
      <c r="VJ15" s="518"/>
      <c r="VK15" s="518"/>
      <c r="VL15" s="518"/>
      <c r="VM15" s="518"/>
      <c r="VN15" s="518"/>
      <c r="VO15" s="518"/>
      <c r="VP15" s="518"/>
      <c r="VQ15" s="518"/>
      <c r="VR15" s="518"/>
      <c r="VS15" s="518"/>
      <c r="VT15" s="518"/>
      <c r="VU15" s="518"/>
      <c r="VV15" s="518"/>
      <c r="VW15" s="518"/>
      <c r="VX15" s="518"/>
      <c r="VY15" s="518"/>
      <c r="VZ15" s="518"/>
      <c r="WA15" s="518"/>
      <c r="WB15" s="518"/>
      <c r="WC15" s="518"/>
      <c r="WD15" s="518"/>
      <c r="WE15" s="518"/>
      <c r="WF15" s="518"/>
      <c r="WG15" s="518"/>
      <c r="WH15" s="518"/>
      <c r="WI15" s="518"/>
      <c r="WJ15" s="518"/>
      <c r="WK15" s="518"/>
      <c r="WL15" s="518"/>
      <c r="WM15" s="518"/>
      <c r="WN15" s="518"/>
      <c r="WO15" s="518"/>
      <c r="WP15" s="518"/>
      <c r="WQ15" s="518"/>
      <c r="WR15" s="518"/>
      <c r="WS15" s="518"/>
      <c r="WT15" s="518"/>
      <c r="WU15" s="518"/>
      <c r="WV15" s="518"/>
      <c r="WW15" s="518"/>
      <c r="WX15" s="518"/>
      <c r="WY15" s="518"/>
      <c r="WZ15" s="518"/>
      <c r="XA15" s="518"/>
      <c r="XB15" s="518"/>
      <c r="XC15" s="518"/>
      <c r="XD15" s="518"/>
      <c r="XE15" s="518"/>
      <c r="XF15" s="518"/>
      <c r="XG15" s="518"/>
      <c r="XH15" s="518"/>
      <c r="XI15" s="518"/>
      <c r="XJ15" s="518"/>
      <c r="XK15" s="518"/>
      <c r="XL15" s="518"/>
      <c r="XM15" s="518"/>
      <c r="XN15" s="518"/>
      <c r="XO15" s="518"/>
      <c r="XP15" s="518"/>
      <c r="XQ15" s="518"/>
      <c r="XR15" s="518"/>
      <c r="XS15" s="518"/>
      <c r="XT15" s="518"/>
      <c r="XU15" s="518"/>
      <c r="XV15" s="518"/>
      <c r="XW15" s="518"/>
      <c r="XX15" s="518"/>
      <c r="XY15" s="518"/>
      <c r="XZ15" s="518"/>
      <c r="YA15" s="518"/>
      <c r="YB15" s="518"/>
      <c r="YC15" s="518"/>
      <c r="YD15" s="518"/>
      <c r="YE15" s="518"/>
      <c r="YF15" s="518"/>
      <c r="YG15" s="518"/>
      <c r="YH15" s="518"/>
      <c r="YI15" s="518"/>
      <c r="YJ15" s="518"/>
      <c r="YK15" s="518"/>
      <c r="YL15" s="518"/>
      <c r="YM15" s="518"/>
      <c r="YN15" s="518"/>
      <c r="YO15" s="518"/>
      <c r="YP15" s="518"/>
      <c r="YQ15" s="518"/>
      <c r="YR15" s="518"/>
      <c r="YS15" s="518"/>
      <c r="YT15" s="518"/>
      <c r="YU15" s="518"/>
      <c r="YV15" s="518"/>
      <c r="YW15" s="518"/>
      <c r="YX15" s="518"/>
      <c r="YY15" s="518"/>
      <c r="YZ15" s="518"/>
      <c r="ZA15" s="518"/>
      <c r="ZB15" s="518"/>
      <c r="ZC15" s="518"/>
      <c r="ZD15" s="518"/>
      <c r="ZE15" s="518"/>
      <c r="ZF15" s="518"/>
      <c r="ZG15" s="518"/>
      <c r="ZH15" s="518"/>
      <c r="ZI15" s="518"/>
      <c r="ZJ15" s="518"/>
      <c r="ZK15" s="518"/>
      <c r="ZL15" s="518"/>
      <c r="ZM15" s="518"/>
      <c r="ZN15" s="518"/>
      <c r="ZO15" s="518"/>
      <c r="ZP15" s="518"/>
      <c r="ZQ15" s="518"/>
      <c r="ZR15" s="518"/>
      <c r="ZS15" s="518"/>
      <c r="ZT15" s="518"/>
      <c r="ZU15" s="518"/>
      <c r="ZV15" s="518"/>
      <c r="ZW15" s="518"/>
      <c r="ZX15" s="518"/>
      <c r="ZY15" s="518"/>
      <c r="ZZ15" s="518"/>
      <c r="AAA15" s="518"/>
      <c r="AAB15" s="518"/>
      <c r="AAC15" s="518"/>
      <c r="AAD15" s="518"/>
      <c r="AAE15" s="518"/>
      <c r="AAF15" s="518"/>
      <c r="AAG15" s="518"/>
      <c r="AAH15" s="518"/>
      <c r="AAI15" s="518"/>
      <c r="AAJ15" s="518"/>
      <c r="AAK15" s="518"/>
      <c r="AAL15" s="518"/>
      <c r="AAM15" s="518"/>
      <c r="AAN15" s="518"/>
      <c r="AAO15" s="518"/>
      <c r="AAP15" s="518"/>
      <c r="AAQ15" s="518"/>
      <c r="AAR15" s="518"/>
      <c r="AAS15" s="518"/>
      <c r="AAT15" s="518"/>
      <c r="AAU15" s="518"/>
      <c r="AAV15" s="518"/>
      <c r="AAW15" s="518"/>
      <c r="AAX15" s="518"/>
      <c r="AAY15" s="518"/>
      <c r="AAZ15" s="518"/>
      <c r="ABA15" s="518"/>
      <c r="ABB15" s="518"/>
      <c r="ABC15" s="518"/>
      <c r="ABD15" s="518"/>
      <c r="ABE15" s="518"/>
      <c r="ABF15" s="518"/>
      <c r="ABG15" s="518"/>
      <c r="ABH15" s="518"/>
      <c r="ABI15" s="518"/>
      <c r="ABJ15" s="518"/>
      <c r="ABK15" s="518"/>
      <c r="ABL15" s="518"/>
      <c r="ABM15" s="518"/>
      <c r="ABN15" s="518"/>
      <c r="ABO15" s="518"/>
      <c r="ABP15" s="518"/>
      <c r="ABQ15" s="518"/>
      <c r="ABR15" s="518"/>
      <c r="ABS15" s="518"/>
      <c r="ABT15" s="518"/>
      <c r="ABU15" s="518"/>
      <c r="ABV15" s="518"/>
      <c r="ABW15" s="518"/>
      <c r="ABX15" s="518"/>
      <c r="ABY15" s="518"/>
      <c r="ABZ15" s="518"/>
      <c r="ACA15" s="518"/>
      <c r="ACB15" s="518"/>
      <c r="ACC15" s="518"/>
      <c r="ACD15" s="518"/>
      <c r="ACE15" s="518"/>
      <c r="ACF15" s="518"/>
      <c r="ACG15" s="518"/>
      <c r="ACH15" s="518"/>
      <c r="ACI15" s="518"/>
      <c r="ACJ15" s="518"/>
      <c r="ACK15" s="518"/>
      <c r="ACL15" s="518"/>
      <c r="ACM15" s="518"/>
      <c r="ACN15" s="518"/>
      <c r="ACO15" s="518"/>
      <c r="ACP15" s="518"/>
      <c r="ACQ15" s="518"/>
      <c r="ACR15" s="518"/>
      <c r="ACS15" s="518"/>
      <c r="ACT15" s="518"/>
      <c r="ACU15" s="518"/>
      <c r="ACV15" s="518"/>
      <c r="ACW15" s="518"/>
      <c r="ACX15" s="518"/>
      <c r="ACY15" s="518"/>
      <c r="ACZ15" s="518"/>
      <c r="ADA15" s="518"/>
      <c r="ADB15" s="518"/>
      <c r="ADC15" s="518"/>
      <c r="ADD15" s="518"/>
      <c r="ADE15" s="518"/>
      <c r="ADF15" s="518"/>
      <c r="ADG15" s="518"/>
      <c r="ADH15" s="518"/>
      <c r="ADI15" s="518"/>
      <c r="ADJ15" s="518"/>
      <c r="ADK15" s="518"/>
      <c r="ADL15" s="518"/>
      <c r="ADM15" s="518"/>
      <c r="ADN15" s="518"/>
      <c r="ADO15" s="518"/>
      <c r="ADP15" s="518"/>
      <c r="ADQ15" s="518"/>
      <c r="ADR15" s="518"/>
      <c r="ADS15" s="518"/>
      <c r="ADT15" s="518"/>
      <c r="ADU15" s="518"/>
      <c r="ADV15" s="518"/>
      <c r="ADW15" s="518"/>
      <c r="ADX15" s="518"/>
      <c r="ADY15" s="518"/>
      <c r="ADZ15" s="518"/>
      <c r="AEA15" s="518"/>
      <c r="AEB15" s="518"/>
      <c r="AEC15" s="518"/>
      <c r="AED15" s="518"/>
      <c r="AEE15" s="518"/>
      <c r="AEF15" s="518"/>
      <c r="AEG15" s="518"/>
      <c r="AEH15" s="518"/>
      <c r="AEI15" s="518"/>
      <c r="AEJ15" s="518"/>
      <c r="AEK15" s="518"/>
      <c r="AEL15" s="518"/>
      <c r="AEM15" s="518"/>
      <c r="AEN15" s="518"/>
      <c r="AEO15" s="518"/>
      <c r="AEP15" s="518"/>
      <c r="AEQ15" s="518"/>
      <c r="AER15" s="518"/>
      <c r="AES15" s="518"/>
      <c r="AET15" s="518"/>
      <c r="AEU15" s="518"/>
      <c r="AEV15" s="518"/>
      <c r="AEW15" s="518"/>
      <c r="AEX15" s="518"/>
      <c r="AEY15" s="518"/>
      <c r="AEZ15" s="518"/>
      <c r="AFA15" s="518"/>
      <c r="AFB15" s="518"/>
      <c r="AFC15" s="518"/>
      <c r="AFD15" s="518"/>
      <c r="AFE15" s="518"/>
      <c r="AFF15" s="518"/>
      <c r="AFG15" s="518"/>
      <c r="AFH15" s="518"/>
      <c r="AFI15" s="518"/>
      <c r="AFJ15" s="518"/>
      <c r="AFK15" s="518"/>
      <c r="AFL15" s="518"/>
      <c r="AFM15" s="518"/>
      <c r="AFN15" s="518"/>
      <c r="AFO15" s="518"/>
      <c r="AFP15" s="518"/>
      <c r="AFQ15" s="518"/>
      <c r="AFR15" s="518"/>
      <c r="AFS15" s="518"/>
      <c r="AFT15" s="518"/>
      <c r="AFU15" s="518"/>
      <c r="AFV15" s="518"/>
      <c r="AFW15" s="518"/>
      <c r="AFX15" s="518"/>
      <c r="AFY15" s="518"/>
      <c r="AFZ15" s="518"/>
      <c r="AGA15" s="518"/>
      <c r="AGB15" s="518"/>
      <c r="AGC15" s="518"/>
      <c r="AGD15" s="518"/>
      <c r="AGE15" s="518"/>
      <c r="AGF15" s="518"/>
      <c r="AGG15" s="518"/>
      <c r="AGH15" s="518"/>
      <c r="AGI15" s="518"/>
      <c r="AGJ15" s="518"/>
      <c r="AGK15" s="518"/>
      <c r="AGL15" s="518"/>
      <c r="AGM15" s="518"/>
      <c r="AGN15" s="518"/>
      <c r="AGO15" s="518"/>
      <c r="AGP15" s="518"/>
      <c r="AGQ15" s="518"/>
      <c r="AGR15" s="518"/>
      <c r="AGS15" s="518"/>
      <c r="AGT15" s="518"/>
      <c r="AGU15" s="518"/>
      <c r="AGV15" s="518"/>
      <c r="AGW15" s="518"/>
      <c r="AGX15" s="518"/>
      <c r="AGY15" s="518"/>
      <c r="AGZ15" s="518"/>
      <c r="AHA15" s="518"/>
      <c r="AHB15" s="518"/>
      <c r="AHC15" s="518"/>
      <c r="AHD15" s="518"/>
      <c r="AHE15" s="518"/>
      <c r="AHF15" s="518"/>
      <c r="AHG15" s="518"/>
      <c r="AHH15" s="518"/>
      <c r="AHI15" s="518"/>
      <c r="AHJ15" s="518"/>
      <c r="AHK15" s="518"/>
      <c r="AHL15" s="518"/>
      <c r="AHM15" s="518"/>
      <c r="AHN15" s="518"/>
      <c r="AHO15" s="518"/>
      <c r="AHP15" s="518"/>
      <c r="AHQ15" s="518"/>
      <c r="AHR15" s="518"/>
      <c r="AHS15" s="518"/>
      <c r="AHT15" s="518"/>
      <c r="AHU15" s="518"/>
      <c r="AHV15" s="518"/>
      <c r="AHW15" s="518"/>
      <c r="AHX15" s="518"/>
      <c r="AHY15" s="518"/>
      <c r="AHZ15" s="518"/>
      <c r="AIA15" s="518"/>
      <c r="AIB15" s="518"/>
      <c r="AIC15" s="518"/>
      <c r="AID15" s="518"/>
      <c r="AIE15" s="518"/>
      <c r="AIF15" s="518"/>
      <c r="AIG15" s="518"/>
      <c r="AIH15" s="518"/>
      <c r="AII15" s="518"/>
      <c r="AIJ15" s="518"/>
      <c r="AIK15" s="518"/>
      <c r="AIL15" s="518"/>
      <c r="AIM15" s="518"/>
      <c r="AIN15" s="518"/>
      <c r="AIO15" s="518"/>
      <c r="AIP15" s="518"/>
      <c r="AIQ15" s="518"/>
      <c r="AIR15" s="518"/>
      <c r="AIS15" s="518"/>
      <c r="AIT15" s="518"/>
      <c r="AIU15" s="518"/>
      <c r="AIV15" s="518"/>
      <c r="AIW15" s="518"/>
      <c r="AIX15" s="518"/>
      <c r="AIY15" s="518"/>
      <c r="AIZ15" s="518"/>
      <c r="AJA15" s="518"/>
      <c r="AJB15" s="518"/>
      <c r="AJC15" s="518"/>
      <c r="AJD15" s="518"/>
      <c r="AJE15" s="518"/>
      <c r="AJF15" s="518"/>
      <c r="AJG15" s="518"/>
      <c r="AJH15" s="518"/>
      <c r="AJI15" s="518"/>
      <c r="AJJ15" s="518"/>
      <c r="AJK15" s="518"/>
      <c r="AJL15" s="518"/>
      <c r="AJM15" s="518"/>
      <c r="AJN15" s="518"/>
      <c r="AJO15" s="518"/>
      <c r="AJP15" s="518"/>
      <c r="AJQ15" s="518"/>
      <c r="AJR15" s="518"/>
      <c r="AJS15" s="518"/>
      <c r="AJT15" s="518"/>
      <c r="AJU15" s="518"/>
      <c r="AJV15" s="518"/>
      <c r="AJW15" s="518"/>
      <c r="AJX15" s="518"/>
      <c r="AJY15" s="518"/>
      <c r="AJZ15" s="518"/>
      <c r="AKA15" s="518"/>
      <c r="AKB15" s="518"/>
      <c r="AKC15" s="518"/>
      <c r="AKD15" s="518"/>
      <c r="AKE15" s="518"/>
      <c r="AKF15" s="518"/>
      <c r="AKG15" s="518"/>
      <c r="AKH15" s="518"/>
      <c r="AKI15" s="518"/>
      <c r="AKJ15" s="518"/>
      <c r="AKK15" s="518"/>
      <c r="AKL15" s="518"/>
      <c r="AKM15" s="518"/>
      <c r="AKN15" s="518"/>
      <c r="AKO15" s="518"/>
      <c r="AKP15" s="518"/>
      <c r="AKQ15" s="518"/>
      <c r="AKR15" s="518"/>
      <c r="AKS15" s="518"/>
      <c r="AKT15" s="518"/>
      <c r="AKU15" s="518"/>
      <c r="AKV15" s="518"/>
      <c r="AKW15" s="518"/>
      <c r="AKX15" s="518"/>
      <c r="AKY15" s="518"/>
      <c r="AKZ15" s="518"/>
      <c r="ALA15" s="518"/>
      <c r="ALB15" s="518"/>
      <c r="ALC15" s="518"/>
      <c r="ALD15" s="518"/>
      <c r="ALE15" s="518"/>
      <c r="ALF15" s="518"/>
      <c r="ALG15" s="518"/>
      <c r="ALH15" s="518"/>
      <c r="ALI15" s="518"/>
      <c r="ALJ15" s="518"/>
      <c r="ALK15" s="518"/>
      <c r="ALL15" s="518"/>
      <c r="ALM15" s="518"/>
      <c r="ALN15" s="518"/>
      <c r="ALO15" s="518"/>
      <c r="ALP15" s="518"/>
      <c r="ALQ15" s="518"/>
      <c r="ALR15" s="518"/>
      <c r="ALS15" s="518"/>
      <c r="ALT15" s="518"/>
      <c r="ALU15" s="518"/>
      <c r="ALV15" s="518"/>
      <c r="ALW15" s="518"/>
      <c r="ALX15" s="518"/>
      <c r="ALY15" s="518"/>
      <c r="ALZ15" s="518"/>
      <c r="AMA15" s="518"/>
      <c r="AMB15" s="518"/>
      <c r="AMC15" s="518"/>
      <c r="AMD15" s="518"/>
      <c r="AME15" s="518"/>
      <c r="AMF15" s="518"/>
      <c r="AMG15" s="518"/>
      <c r="AMH15" s="518"/>
      <c r="AMI15" s="518"/>
      <c r="AMJ15" s="518"/>
      <c r="AMK15" s="518"/>
      <c r="AML15" s="518"/>
      <c r="AMM15" s="518"/>
      <c r="AMN15" s="518"/>
      <c r="AMO15" s="518"/>
      <c r="AMP15" s="518"/>
      <c r="AMQ15" s="518"/>
      <c r="AMR15" s="518"/>
      <c r="AMS15" s="518"/>
      <c r="AMT15" s="518"/>
      <c r="AMU15" s="518"/>
      <c r="AMV15" s="518"/>
      <c r="AMW15" s="518"/>
      <c r="AMX15" s="518"/>
      <c r="AMY15" s="518"/>
      <c r="AMZ15" s="518"/>
      <c r="ANA15" s="518"/>
      <c r="ANB15" s="518"/>
      <c r="ANC15" s="518"/>
      <c r="AND15" s="518"/>
      <c r="ANE15" s="518"/>
      <c r="ANF15" s="518"/>
      <c r="ANG15" s="518"/>
      <c r="ANH15" s="518"/>
      <c r="ANI15" s="518"/>
      <c r="ANJ15" s="518"/>
      <c r="ANK15" s="518"/>
      <c r="ANL15" s="518"/>
      <c r="ANM15" s="518"/>
      <c r="ANN15" s="518"/>
      <c r="ANO15" s="518"/>
      <c r="ANP15" s="518"/>
      <c r="ANQ15" s="518"/>
      <c r="ANR15" s="518"/>
      <c r="ANS15" s="518"/>
      <c r="ANT15" s="518"/>
      <c r="ANU15" s="518"/>
      <c r="ANV15" s="518"/>
      <c r="ANW15" s="518"/>
      <c r="ANX15" s="518"/>
      <c r="ANY15" s="518"/>
      <c r="ANZ15" s="518"/>
      <c r="AOA15" s="518"/>
      <c r="AOB15" s="518"/>
      <c r="AOC15" s="518"/>
      <c r="AOD15" s="518"/>
      <c r="AOE15" s="518"/>
      <c r="AOF15" s="518"/>
      <c r="AOG15" s="518"/>
      <c r="AOH15" s="518"/>
      <c r="AOI15" s="518"/>
      <c r="AOJ15" s="518"/>
      <c r="AOK15" s="518"/>
      <c r="AOL15" s="518"/>
      <c r="AOM15" s="518"/>
      <c r="AON15" s="518"/>
      <c r="AOO15" s="518"/>
      <c r="AOP15" s="518"/>
      <c r="AOQ15" s="518"/>
      <c r="AOR15" s="518"/>
      <c r="AOS15" s="518"/>
      <c r="AOT15" s="518"/>
      <c r="AOU15" s="518"/>
      <c r="AOV15" s="518"/>
      <c r="AOW15" s="518"/>
      <c r="AOX15" s="518"/>
      <c r="AOY15" s="518"/>
      <c r="AOZ15" s="518"/>
      <c r="APA15" s="518"/>
      <c r="APB15" s="518"/>
      <c r="APC15" s="518"/>
      <c r="APD15" s="518"/>
      <c r="APE15" s="518"/>
      <c r="APF15" s="518"/>
      <c r="APG15" s="518"/>
      <c r="APH15" s="518"/>
      <c r="API15" s="518"/>
      <c r="APJ15" s="518"/>
      <c r="APK15" s="518"/>
      <c r="APL15" s="518"/>
      <c r="APM15" s="518"/>
      <c r="APN15" s="518"/>
      <c r="APO15" s="518"/>
      <c r="APP15" s="518"/>
      <c r="APQ15" s="518"/>
      <c r="APR15" s="518"/>
      <c r="APS15" s="518"/>
      <c r="APT15" s="518"/>
      <c r="APU15" s="518"/>
      <c r="APV15" s="518"/>
      <c r="APW15" s="518"/>
      <c r="APX15" s="518"/>
      <c r="APY15" s="518"/>
      <c r="APZ15" s="518"/>
      <c r="AQA15" s="518"/>
      <c r="AQB15" s="518"/>
      <c r="AQC15" s="518"/>
      <c r="AQD15" s="518"/>
      <c r="AQE15" s="518"/>
      <c r="AQF15" s="518"/>
      <c r="AQG15" s="518"/>
      <c r="AQH15" s="518"/>
      <c r="AQI15" s="518"/>
      <c r="AQJ15" s="518"/>
      <c r="AQK15" s="518"/>
      <c r="AQL15" s="518"/>
      <c r="AQM15" s="518"/>
      <c r="AQN15" s="518"/>
      <c r="AQO15" s="518"/>
      <c r="AQP15" s="518"/>
      <c r="AQQ15" s="518"/>
      <c r="AQR15" s="518"/>
      <c r="AQS15" s="518"/>
      <c r="AQT15" s="518"/>
      <c r="AQU15" s="518"/>
      <c r="AQV15" s="518"/>
      <c r="AQW15" s="518"/>
      <c r="AQX15" s="518"/>
      <c r="AQY15" s="518"/>
      <c r="AQZ15" s="518"/>
      <c r="ARA15" s="518"/>
      <c r="ARB15" s="518"/>
      <c r="ARC15" s="518"/>
      <c r="ARD15" s="518"/>
      <c r="ARE15" s="518"/>
      <c r="ARF15" s="518"/>
      <c r="ARG15" s="518"/>
      <c r="ARH15" s="518"/>
      <c r="ARI15" s="518"/>
      <c r="ARJ15" s="518"/>
      <c r="ARK15" s="518"/>
      <c r="ARL15" s="518"/>
      <c r="ARM15" s="518"/>
      <c r="ARN15" s="518"/>
      <c r="ARO15" s="518"/>
      <c r="ARP15" s="518"/>
      <c r="ARQ15" s="518"/>
      <c r="ARR15" s="518"/>
      <c r="ARS15" s="518"/>
      <c r="ART15" s="518"/>
      <c r="ARU15" s="518"/>
      <c r="ARV15" s="518"/>
      <c r="ARW15" s="518"/>
      <c r="ARX15" s="518"/>
      <c r="ARY15" s="518"/>
      <c r="ARZ15" s="518"/>
      <c r="ASA15" s="518"/>
      <c r="ASB15" s="518"/>
      <c r="ASC15" s="518"/>
      <c r="ASD15" s="518"/>
      <c r="ASE15" s="518"/>
      <c r="ASF15" s="518"/>
      <c r="ASG15" s="518"/>
      <c r="ASH15" s="518"/>
      <c r="ASI15" s="518"/>
      <c r="ASJ15" s="518"/>
      <c r="ASK15" s="518"/>
      <c r="ASL15" s="518"/>
      <c r="ASM15" s="518"/>
      <c r="ASN15" s="518"/>
      <c r="ASO15" s="518"/>
      <c r="ASP15" s="518"/>
      <c r="ASQ15" s="518"/>
      <c r="ASR15" s="518"/>
      <c r="ASS15" s="518"/>
      <c r="AST15" s="518"/>
      <c r="ASU15" s="518"/>
      <c r="ASV15" s="518"/>
      <c r="ASW15" s="518"/>
      <c r="ASX15" s="518"/>
      <c r="ASY15" s="518"/>
      <c r="ASZ15" s="518"/>
      <c r="ATA15" s="518"/>
      <c r="ATB15" s="518"/>
      <c r="ATC15" s="518"/>
      <c r="ATD15" s="518"/>
      <c r="ATE15" s="518"/>
      <c r="ATF15" s="518"/>
      <c r="ATG15" s="518"/>
      <c r="ATH15" s="518"/>
      <c r="ATI15" s="518"/>
      <c r="ATJ15" s="518"/>
      <c r="ATK15" s="518"/>
      <c r="ATL15" s="518"/>
      <c r="ATM15" s="518"/>
      <c r="ATN15" s="518"/>
      <c r="ATO15" s="518"/>
      <c r="ATP15" s="518"/>
      <c r="ATQ15" s="518"/>
      <c r="ATR15" s="518"/>
      <c r="ATS15" s="518"/>
      <c r="ATT15" s="518"/>
      <c r="ATU15" s="518"/>
      <c r="ATV15" s="518"/>
      <c r="ATW15" s="518"/>
      <c r="ATX15" s="518"/>
      <c r="ATY15" s="518"/>
      <c r="ATZ15" s="518"/>
      <c r="AUA15" s="518"/>
      <c r="AUB15" s="518"/>
      <c r="AUC15" s="518"/>
      <c r="AUD15" s="518"/>
      <c r="AUE15" s="518"/>
      <c r="AUF15" s="518"/>
      <c r="AUG15" s="518"/>
      <c r="AUH15" s="518"/>
      <c r="AUI15" s="518"/>
      <c r="AUJ15" s="518"/>
      <c r="AUK15" s="518"/>
      <c r="AUL15" s="518"/>
      <c r="AUM15" s="518"/>
      <c r="AUN15" s="518"/>
      <c r="AUO15" s="518"/>
      <c r="AUP15" s="518"/>
      <c r="AUQ15" s="518"/>
      <c r="AUR15" s="518"/>
      <c r="AUS15" s="518"/>
      <c r="AUT15" s="518"/>
      <c r="AUU15" s="518"/>
      <c r="AUV15" s="518"/>
      <c r="AUW15" s="518"/>
      <c r="AUX15" s="518"/>
      <c r="AUY15" s="518"/>
      <c r="AUZ15" s="518"/>
      <c r="AVA15" s="518"/>
      <c r="AVB15" s="518"/>
      <c r="AVC15" s="518"/>
      <c r="AVD15" s="518"/>
      <c r="AVE15" s="518"/>
      <c r="AVF15" s="518"/>
      <c r="AVG15" s="518"/>
      <c r="AVH15" s="518"/>
      <c r="AVI15" s="518"/>
      <c r="AVJ15" s="518"/>
      <c r="AVK15" s="518"/>
      <c r="AVL15" s="518"/>
      <c r="AVM15" s="518"/>
      <c r="AVN15" s="518"/>
      <c r="AVO15" s="518"/>
      <c r="AVP15" s="518"/>
      <c r="AVQ15" s="518"/>
      <c r="AVR15" s="518"/>
      <c r="AVS15" s="518"/>
      <c r="AVT15" s="518"/>
      <c r="AVU15" s="518"/>
      <c r="AVV15" s="518"/>
      <c r="AVW15" s="518"/>
      <c r="AVX15" s="518"/>
      <c r="AVY15" s="518"/>
      <c r="AVZ15" s="518"/>
      <c r="AWA15" s="518"/>
      <c r="AWB15" s="518"/>
      <c r="AWC15" s="518"/>
      <c r="AWD15" s="518"/>
      <c r="AWE15" s="518"/>
      <c r="AWF15" s="518"/>
      <c r="AWG15" s="518"/>
      <c r="AWH15" s="518"/>
      <c r="AWI15" s="518"/>
      <c r="AWJ15" s="518"/>
      <c r="AWK15" s="518"/>
      <c r="AWL15" s="518"/>
      <c r="AWM15" s="518"/>
      <c r="AWN15" s="518"/>
      <c r="AWO15" s="518"/>
      <c r="AWP15" s="518"/>
      <c r="AWQ15" s="518"/>
      <c r="AWR15" s="518"/>
      <c r="AWS15" s="518"/>
      <c r="AWT15" s="518"/>
      <c r="AWU15" s="518"/>
      <c r="AWV15" s="518"/>
      <c r="AWW15" s="518"/>
      <c r="AWX15" s="518"/>
      <c r="AWY15" s="518"/>
      <c r="AWZ15" s="518"/>
      <c r="AXA15" s="518"/>
      <c r="AXB15" s="518"/>
      <c r="AXC15" s="518"/>
      <c r="AXD15" s="518"/>
      <c r="AXE15" s="518"/>
      <c r="AXF15" s="518"/>
      <c r="AXG15" s="518"/>
      <c r="AXH15" s="518"/>
      <c r="AXI15" s="518"/>
      <c r="AXJ15" s="518"/>
      <c r="AXK15" s="518"/>
      <c r="AXL15" s="518"/>
      <c r="AXM15" s="518"/>
      <c r="AXN15" s="518"/>
      <c r="AXO15" s="518"/>
      <c r="AXP15" s="518"/>
      <c r="AXQ15" s="518"/>
      <c r="AXR15" s="518"/>
      <c r="AXS15" s="518"/>
      <c r="AXT15" s="518"/>
      <c r="AXU15" s="518"/>
      <c r="AXV15" s="518"/>
      <c r="AXW15" s="518"/>
      <c r="AXX15" s="518"/>
      <c r="AXY15" s="518"/>
      <c r="AXZ15" s="518"/>
      <c r="AYA15" s="518"/>
      <c r="AYB15" s="518"/>
      <c r="AYC15" s="518"/>
      <c r="AYD15" s="518"/>
      <c r="AYE15" s="518"/>
      <c r="AYF15" s="518"/>
      <c r="AYG15" s="518"/>
      <c r="AYH15" s="518"/>
      <c r="AYI15" s="518"/>
      <c r="AYJ15" s="518"/>
      <c r="AYK15" s="518"/>
      <c r="AYL15" s="518"/>
      <c r="AYM15" s="518"/>
      <c r="AYN15" s="518"/>
      <c r="AYO15" s="518"/>
      <c r="AYP15" s="518"/>
      <c r="AYQ15" s="518"/>
      <c r="AYR15" s="518"/>
      <c r="AYS15" s="518"/>
      <c r="AYT15" s="518"/>
      <c r="AYU15" s="518"/>
      <c r="AYV15" s="518"/>
      <c r="AYW15" s="518"/>
      <c r="AYX15" s="518"/>
      <c r="AYY15" s="518"/>
      <c r="AYZ15" s="518"/>
      <c r="AZA15" s="518"/>
      <c r="AZB15" s="518"/>
      <c r="AZC15" s="518"/>
      <c r="AZD15" s="518"/>
      <c r="AZE15" s="518"/>
      <c r="AZF15" s="518"/>
      <c r="AZG15" s="518"/>
      <c r="AZH15" s="518"/>
      <c r="AZI15" s="518"/>
      <c r="AZJ15" s="518"/>
      <c r="AZK15" s="518"/>
      <c r="AZL15" s="518"/>
      <c r="AZM15" s="518"/>
      <c r="AZN15" s="518"/>
      <c r="AZO15" s="518"/>
      <c r="AZP15" s="518"/>
      <c r="AZQ15" s="518"/>
      <c r="AZR15" s="518"/>
      <c r="AZS15" s="518"/>
      <c r="AZT15" s="518"/>
      <c r="AZU15" s="518"/>
      <c r="AZV15" s="518"/>
      <c r="AZW15" s="518"/>
      <c r="AZX15" s="518"/>
      <c r="AZY15" s="518"/>
      <c r="AZZ15" s="518"/>
      <c r="BAA15" s="518"/>
      <c r="BAB15" s="518"/>
      <c r="BAC15" s="518"/>
      <c r="BAD15" s="518"/>
      <c r="BAE15" s="518"/>
      <c r="BAF15" s="518"/>
      <c r="BAG15" s="518"/>
      <c r="BAH15" s="518"/>
      <c r="BAI15" s="518"/>
      <c r="BAJ15" s="518"/>
      <c r="BAK15" s="518"/>
      <c r="BAL15" s="518"/>
      <c r="BAM15" s="518"/>
      <c r="BAN15" s="518"/>
      <c r="BAO15" s="518"/>
      <c r="BAP15" s="518"/>
      <c r="BAQ15" s="518"/>
      <c r="BAR15" s="518"/>
      <c r="BAS15" s="518"/>
      <c r="BAT15" s="518"/>
      <c r="BAU15" s="518"/>
      <c r="BAV15" s="518"/>
      <c r="BAW15" s="518"/>
      <c r="BAX15" s="518"/>
      <c r="BAY15" s="518"/>
      <c r="BAZ15" s="518"/>
      <c r="BBA15" s="518"/>
      <c r="BBB15" s="518"/>
      <c r="BBC15" s="518"/>
      <c r="BBD15" s="518"/>
      <c r="BBE15" s="518"/>
      <c r="BBF15" s="518"/>
      <c r="BBG15" s="518"/>
      <c r="BBH15" s="518"/>
      <c r="BBI15" s="518"/>
      <c r="BBJ15" s="518"/>
      <c r="BBK15" s="518"/>
      <c r="BBL15" s="518"/>
      <c r="BBM15" s="518"/>
      <c r="BBN15" s="518"/>
      <c r="BBO15" s="518"/>
      <c r="BBP15" s="518"/>
      <c r="BBQ15" s="518"/>
      <c r="BBR15" s="518"/>
      <c r="BBS15" s="518"/>
      <c r="BBT15" s="518"/>
      <c r="BBU15" s="518"/>
      <c r="BBV15" s="518"/>
      <c r="BBW15" s="518"/>
      <c r="BBX15" s="518"/>
      <c r="BBY15" s="518"/>
      <c r="BBZ15" s="518"/>
      <c r="BCA15" s="518"/>
      <c r="BCB15" s="518"/>
      <c r="BCC15" s="518"/>
      <c r="BCD15" s="518"/>
      <c r="BCE15" s="518"/>
      <c r="BCF15" s="518"/>
      <c r="BCG15" s="518"/>
      <c r="BCH15" s="518"/>
      <c r="BCI15" s="518"/>
      <c r="BCJ15" s="518"/>
      <c r="BCK15" s="518"/>
      <c r="BCL15" s="518"/>
      <c r="BCM15" s="518"/>
      <c r="BCN15" s="518"/>
      <c r="BCO15" s="518"/>
      <c r="BCP15" s="518"/>
      <c r="BCQ15" s="518"/>
      <c r="BCR15" s="518"/>
      <c r="BCS15" s="518"/>
      <c r="BCT15" s="518"/>
      <c r="BCU15" s="518"/>
      <c r="BCV15" s="518"/>
      <c r="BCW15" s="518"/>
      <c r="BCX15" s="518"/>
      <c r="BCY15" s="518"/>
      <c r="BCZ15" s="518"/>
      <c r="BDA15" s="518"/>
      <c r="BDB15" s="518"/>
      <c r="BDC15" s="518"/>
      <c r="BDD15" s="518"/>
      <c r="BDE15" s="518"/>
      <c r="BDF15" s="518"/>
      <c r="BDG15" s="518"/>
      <c r="BDH15" s="518"/>
      <c r="BDI15" s="518"/>
      <c r="BDJ15" s="518"/>
      <c r="BDK15" s="518"/>
      <c r="BDL15" s="518"/>
      <c r="BDM15" s="518"/>
      <c r="BDN15" s="518"/>
      <c r="BDO15" s="518"/>
      <c r="BDP15" s="518"/>
      <c r="BDQ15" s="518"/>
      <c r="BDR15" s="518"/>
      <c r="BDS15" s="518"/>
      <c r="BDT15" s="518"/>
      <c r="BDU15" s="518"/>
      <c r="BDV15" s="518"/>
      <c r="BDW15" s="518"/>
      <c r="BDX15" s="518"/>
      <c r="BDY15" s="518"/>
      <c r="BDZ15" s="518"/>
      <c r="BEA15" s="518"/>
      <c r="BEB15" s="518"/>
      <c r="BEC15" s="518"/>
      <c r="BED15" s="518"/>
      <c r="BEE15" s="518"/>
      <c r="BEF15" s="518"/>
      <c r="BEG15" s="518"/>
      <c r="BEH15" s="518"/>
      <c r="BEI15" s="518"/>
      <c r="BEJ15" s="518"/>
      <c r="BEK15" s="518"/>
      <c r="BEL15" s="518"/>
      <c r="BEM15" s="518"/>
      <c r="BEN15" s="518"/>
      <c r="BEO15" s="518"/>
      <c r="BEP15" s="518"/>
      <c r="BEQ15" s="518"/>
      <c r="BER15" s="518"/>
      <c r="BES15" s="518"/>
      <c r="BET15" s="518"/>
      <c r="BEU15" s="518"/>
      <c r="BEV15" s="518"/>
      <c r="BEW15" s="518"/>
      <c r="BEX15" s="518"/>
      <c r="BEY15" s="518"/>
      <c r="BEZ15" s="518"/>
      <c r="BFA15" s="518"/>
      <c r="BFB15" s="518"/>
      <c r="BFC15" s="518"/>
      <c r="BFD15" s="518"/>
      <c r="BFE15" s="518"/>
      <c r="BFF15" s="518"/>
      <c r="BFG15" s="518"/>
      <c r="BFH15" s="518"/>
      <c r="BFI15" s="518"/>
      <c r="BFJ15" s="518"/>
      <c r="BFK15" s="518"/>
      <c r="BFL15" s="518"/>
      <c r="BFM15" s="518"/>
      <c r="BFN15" s="518"/>
      <c r="BFO15" s="518"/>
      <c r="BFP15" s="518"/>
      <c r="BFQ15" s="518"/>
      <c r="BFR15" s="518"/>
      <c r="BFS15" s="518"/>
      <c r="BFT15" s="518"/>
      <c r="BFU15" s="518"/>
      <c r="BFV15" s="518"/>
      <c r="BFW15" s="518"/>
      <c r="BFX15" s="518"/>
      <c r="BFY15" s="518"/>
      <c r="BFZ15" s="518"/>
      <c r="BGA15" s="518"/>
      <c r="BGB15" s="518"/>
      <c r="BGC15" s="518"/>
      <c r="BGD15" s="518"/>
      <c r="BGE15" s="518"/>
      <c r="BGF15" s="518"/>
      <c r="BGG15" s="518"/>
      <c r="BGH15" s="518"/>
      <c r="BGI15" s="518"/>
      <c r="BGJ15" s="518"/>
      <c r="BGK15" s="518"/>
      <c r="BGL15" s="518"/>
      <c r="BGM15" s="518"/>
      <c r="BGN15" s="518"/>
      <c r="BGO15" s="518"/>
      <c r="BGP15" s="518"/>
      <c r="BGQ15" s="518"/>
      <c r="BGR15" s="518"/>
      <c r="BGS15" s="518"/>
      <c r="BGT15" s="518"/>
      <c r="BGU15" s="518"/>
      <c r="BGV15" s="518"/>
      <c r="BGW15" s="518"/>
      <c r="BGX15" s="518"/>
      <c r="BGY15" s="518"/>
      <c r="BGZ15" s="518"/>
      <c r="BHA15" s="518"/>
      <c r="BHB15" s="518"/>
      <c r="BHC15" s="518"/>
      <c r="BHD15" s="518"/>
      <c r="BHE15" s="518"/>
      <c r="BHF15" s="518"/>
      <c r="BHG15" s="518"/>
      <c r="BHH15" s="518"/>
      <c r="BHI15" s="518"/>
      <c r="BHJ15" s="518"/>
      <c r="BHK15" s="518"/>
      <c r="BHL15" s="518"/>
      <c r="BHM15" s="518"/>
      <c r="BHN15" s="518"/>
      <c r="BHO15" s="518"/>
      <c r="BHP15" s="518"/>
      <c r="BHQ15" s="518"/>
      <c r="BHR15" s="518"/>
      <c r="BHS15" s="518"/>
      <c r="BHT15" s="518"/>
      <c r="BHU15" s="518"/>
      <c r="BHV15" s="518"/>
      <c r="BHW15" s="518"/>
      <c r="BHX15" s="518"/>
      <c r="BHY15" s="518"/>
      <c r="BHZ15" s="518"/>
      <c r="BIA15" s="518"/>
      <c r="BIB15" s="518"/>
      <c r="BIC15" s="518"/>
      <c r="BID15" s="518"/>
      <c r="BIE15" s="518"/>
      <c r="BIF15" s="518"/>
      <c r="BIG15" s="518"/>
      <c r="BIH15" s="518"/>
      <c r="BII15" s="518"/>
      <c r="BIJ15" s="518"/>
      <c r="BIK15" s="518"/>
      <c r="BIL15" s="518"/>
      <c r="BIM15" s="518"/>
      <c r="BIN15" s="518"/>
      <c r="BIO15" s="518"/>
      <c r="BIP15" s="518"/>
      <c r="BIQ15" s="518"/>
      <c r="BIR15" s="518"/>
      <c r="BIS15" s="518"/>
      <c r="BIT15" s="518"/>
      <c r="BIU15" s="518"/>
      <c r="BIV15" s="518"/>
      <c r="BIW15" s="518"/>
      <c r="BIX15" s="518"/>
      <c r="BIY15" s="518"/>
      <c r="BIZ15" s="518"/>
      <c r="BJA15" s="518"/>
      <c r="BJB15" s="518"/>
      <c r="BJC15" s="518"/>
      <c r="BJD15" s="518"/>
      <c r="BJE15" s="518"/>
      <c r="BJF15" s="518"/>
      <c r="BJG15" s="518"/>
      <c r="BJH15" s="518"/>
      <c r="BJI15" s="518"/>
      <c r="BJJ15" s="518"/>
      <c r="BJK15" s="518"/>
      <c r="BJL15" s="518"/>
      <c r="BJM15" s="518"/>
      <c r="BJN15" s="518"/>
      <c r="BJO15" s="518"/>
      <c r="BJP15" s="518"/>
      <c r="BJQ15" s="518"/>
      <c r="BJR15" s="518"/>
      <c r="BJS15" s="518"/>
      <c r="BJT15" s="518"/>
      <c r="BJU15" s="518"/>
      <c r="BJV15" s="518"/>
      <c r="BJW15" s="518"/>
      <c r="BJX15" s="518"/>
      <c r="BJY15" s="518"/>
      <c r="BJZ15" s="518"/>
      <c r="BKA15" s="518"/>
      <c r="BKB15" s="518"/>
      <c r="BKC15" s="518"/>
      <c r="BKD15" s="518"/>
      <c r="BKE15" s="518"/>
      <c r="BKF15" s="518"/>
      <c r="BKG15" s="518"/>
      <c r="BKH15" s="518"/>
      <c r="BKI15" s="518"/>
      <c r="BKJ15" s="518"/>
      <c r="BKK15" s="518"/>
      <c r="BKL15" s="518"/>
      <c r="BKM15" s="518"/>
      <c r="BKN15" s="518"/>
      <c r="BKO15" s="518"/>
      <c r="BKP15" s="518"/>
      <c r="BKQ15" s="518"/>
      <c r="BKR15" s="518"/>
      <c r="BKS15" s="518"/>
      <c r="BKT15" s="518"/>
      <c r="BKU15" s="518"/>
      <c r="BKV15" s="518"/>
      <c r="BKW15" s="518"/>
      <c r="BKX15" s="518"/>
      <c r="BKY15" s="518"/>
      <c r="BKZ15" s="518"/>
      <c r="BLA15" s="518"/>
      <c r="BLB15" s="518"/>
      <c r="BLC15" s="518"/>
      <c r="BLD15" s="518"/>
      <c r="BLE15" s="518"/>
      <c r="BLF15" s="518"/>
      <c r="BLG15" s="518"/>
      <c r="BLH15" s="518"/>
      <c r="BLI15" s="518"/>
      <c r="BLJ15" s="518"/>
      <c r="BLK15" s="518"/>
      <c r="BLL15" s="518"/>
      <c r="BLM15" s="518"/>
      <c r="BLN15" s="518"/>
      <c r="BLO15" s="518"/>
      <c r="BLP15" s="518"/>
      <c r="BLQ15" s="518"/>
      <c r="BLR15" s="518"/>
      <c r="BLS15" s="518"/>
      <c r="BLT15" s="518"/>
      <c r="BLU15" s="518"/>
      <c r="BLV15" s="518"/>
      <c r="BLW15" s="518"/>
      <c r="BLX15" s="518"/>
      <c r="BLY15" s="518"/>
      <c r="BLZ15" s="518"/>
      <c r="BMA15" s="518"/>
      <c r="BMB15" s="518"/>
      <c r="BMC15" s="518"/>
      <c r="BMD15" s="518"/>
      <c r="BME15" s="518"/>
      <c r="BMF15" s="518"/>
      <c r="BMG15" s="518"/>
      <c r="BMH15" s="518"/>
      <c r="BMI15" s="518"/>
      <c r="BMJ15" s="518"/>
      <c r="BMK15" s="518"/>
      <c r="BML15" s="518"/>
      <c r="BMM15" s="518"/>
      <c r="BMN15" s="518"/>
      <c r="BMO15" s="518"/>
      <c r="BMP15" s="518"/>
      <c r="BMQ15" s="518"/>
      <c r="BMR15" s="518"/>
      <c r="BMS15" s="518"/>
      <c r="BMT15" s="518"/>
      <c r="BMU15" s="518"/>
      <c r="BMV15" s="518"/>
      <c r="BMW15" s="518"/>
      <c r="BMX15" s="518"/>
      <c r="BMY15" s="518"/>
      <c r="BMZ15" s="518"/>
      <c r="BNA15" s="518"/>
      <c r="BNB15" s="518"/>
      <c r="BNC15" s="518"/>
      <c r="BND15" s="518"/>
      <c r="BNE15" s="518"/>
      <c r="BNF15" s="518"/>
      <c r="BNG15" s="518"/>
      <c r="BNH15" s="518"/>
      <c r="BNI15" s="518"/>
      <c r="BNJ15" s="518"/>
      <c r="BNK15" s="518"/>
      <c r="BNL15" s="518"/>
      <c r="BNM15" s="518"/>
      <c r="BNN15" s="518"/>
      <c r="BNO15" s="518"/>
      <c r="BNP15" s="518"/>
      <c r="BNQ15" s="518"/>
      <c r="BNR15" s="518"/>
      <c r="BNS15" s="518"/>
      <c r="BNT15" s="518"/>
      <c r="BNU15" s="518"/>
      <c r="BNV15" s="518"/>
      <c r="BNW15" s="518"/>
      <c r="BNX15" s="518"/>
      <c r="BNY15" s="518"/>
      <c r="BNZ15" s="518"/>
      <c r="BOA15" s="518"/>
      <c r="BOB15" s="518"/>
      <c r="BOC15" s="518"/>
      <c r="BOD15" s="518"/>
      <c r="BOE15" s="518"/>
      <c r="BOF15" s="518"/>
      <c r="BOG15" s="518"/>
      <c r="BOH15" s="518"/>
      <c r="BOI15" s="518"/>
      <c r="BOJ15" s="518"/>
      <c r="BOK15" s="518"/>
      <c r="BOL15" s="518"/>
      <c r="BOM15" s="518"/>
      <c r="BON15" s="518"/>
      <c r="BOO15" s="518"/>
      <c r="BOP15" s="518"/>
      <c r="BOQ15" s="518"/>
      <c r="BOR15" s="518"/>
      <c r="BOS15" s="518"/>
      <c r="BOT15" s="518"/>
      <c r="BOU15" s="518"/>
      <c r="BOV15" s="518"/>
      <c r="BOW15" s="518"/>
      <c r="BOX15" s="518"/>
      <c r="BOY15" s="518"/>
      <c r="BOZ15" s="518"/>
      <c r="BPA15" s="518"/>
      <c r="BPB15" s="518"/>
      <c r="BPC15" s="518"/>
      <c r="BPD15" s="518"/>
      <c r="BPE15" s="518"/>
      <c r="BPF15" s="518"/>
      <c r="BPG15" s="518"/>
      <c r="BPH15" s="518"/>
      <c r="BPI15" s="518"/>
      <c r="BPJ15" s="518"/>
      <c r="BPK15" s="518"/>
      <c r="BPL15" s="518"/>
      <c r="BPM15" s="518"/>
      <c r="BPN15" s="518"/>
      <c r="BPO15" s="518"/>
      <c r="BPP15" s="518"/>
      <c r="BPQ15" s="518"/>
      <c r="BPR15" s="518"/>
      <c r="BPS15" s="518"/>
      <c r="BPT15" s="518"/>
      <c r="BPU15" s="518"/>
      <c r="BPV15" s="518"/>
      <c r="BPW15" s="518"/>
      <c r="BPX15" s="518"/>
      <c r="BPY15" s="518"/>
      <c r="BPZ15" s="518"/>
      <c r="BQA15" s="518"/>
      <c r="BQB15" s="518"/>
      <c r="BQC15" s="518"/>
      <c r="BQD15" s="518"/>
      <c r="BQE15" s="518"/>
      <c r="BQF15" s="518"/>
      <c r="BQG15" s="518"/>
      <c r="BQH15" s="518"/>
      <c r="BQI15" s="518"/>
      <c r="BQJ15" s="518"/>
      <c r="BQK15" s="518"/>
      <c r="BQL15" s="518"/>
      <c r="BQM15" s="518"/>
      <c r="BQN15" s="518"/>
      <c r="BQO15" s="518"/>
      <c r="BQP15" s="518"/>
      <c r="BQQ15" s="518"/>
      <c r="BQR15" s="518"/>
      <c r="BQS15" s="518"/>
      <c r="BQT15" s="518"/>
      <c r="BQU15" s="518"/>
      <c r="BQV15" s="518"/>
      <c r="BQW15" s="518"/>
      <c r="BQX15" s="518"/>
      <c r="BQY15" s="518"/>
      <c r="BQZ15" s="518"/>
      <c r="BRA15" s="518"/>
      <c r="BRB15" s="518"/>
      <c r="BRC15" s="518"/>
      <c r="BRD15" s="518"/>
      <c r="BRE15" s="518"/>
      <c r="BRF15" s="518"/>
      <c r="BRG15" s="518"/>
      <c r="BRH15" s="518"/>
      <c r="BRI15" s="518"/>
      <c r="BRJ15" s="518"/>
      <c r="BRK15" s="518"/>
      <c r="BRL15" s="518"/>
      <c r="BRM15" s="518"/>
      <c r="BRN15" s="518"/>
      <c r="BRO15" s="518"/>
      <c r="BRP15" s="518"/>
      <c r="BRQ15" s="518"/>
      <c r="BRR15" s="518"/>
      <c r="BRS15" s="518"/>
      <c r="BRT15" s="518"/>
      <c r="BRU15" s="518"/>
      <c r="BRV15" s="518"/>
      <c r="BRW15" s="518"/>
      <c r="BRX15" s="518"/>
      <c r="BRY15" s="518"/>
      <c r="BRZ15" s="518"/>
      <c r="BSA15" s="518"/>
      <c r="BSB15" s="518"/>
      <c r="BSC15" s="518"/>
      <c r="BSD15" s="518"/>
      <c r="BSE15" s="518"/>
      <c r="BSF15" s="518"/>
      <c r="BSG15" s="518"/>
      <c r="BSH15" s="518"/>
      <c r="BSI15" s="518"/>
      <c r="BSJ15" s="518"/>
      <c r="BSK15" s="518"/>
      <c r="BSL15" s="518"/>
      <c r="BSM15" s="518"/>
      <c r="BSN15" s="518"/>
      <c r="BSO15" s="518"/>
      <c r="BSP15" s="518"/>
      <c r="BSQ15" s="518"/>
      <c r="BSR15" s="518"/>
      <c r="BSS15" s="518"/>
      <c r="BST15" s="518"/>
      <c r="BSU15" s="518"/>
      <c r="BSV15" s="518"/>
      <c r="BSW15" s="518"/>
      <c r="BSX15" s="518"/>
      <c r="BSY15" s="518"/>
      <c r="BSZ15" s="518"/>
      <c r="BTA15" s="518"/>
      <c r="BTB15" s="518"/>
      <c r="BTC15" s="518"/>
      <c r="BTD15" s="518"/>
      <c r="BTE15" s="518"/>
      <c r="BTF15" s="518"/>
      <c r="BTG15" s="518"/>
      <c r="BTH15" s="518"/>
      <c r="BTI15" s="518"/>
      <c r="BTJ15" s="518"/>
      <c r="BTK15" s="518"/>
      <c r="BTL15" s="518"/>
      <c r="BTM15" s="518"/>
      <c r="BTN15" s="518"/>
      <c r="BTO15" s="518"/>
      <c r="BTP15" s="518"/>
      <c r="BTQ15" s="518"/>
      <c r="BTR15" s="518"/>
      <c r="BTS15" s="518"/>
      <c r="BTT15" s="518"/>
      <c r="BTU15" s="518"/>
      <c r="BTV15" s="518"/>
      <c r="BTW15" s="518"/>
      <c r="BTX15" s="518"/>
      <c r="BTY15" s="518"/>
      <c r="BTZ15" s="518"/>
      <c r="BUA15" s="518"/>
      <c r="BUB15" s="518"/>
      <c r="BUC15" s="518"/>
      <c r="BUD15" s="518"/>
      <c r="BUE15" s="518"/>
      <c r="BUF15" s="518"/>
      <c r="BUG15" s="518"/>
      <c r="BUH15" s="518"/>
      <c r="BUI15" s="518"/>
      <c r="BUJ15" s="518"/>
      <c r="BUK15" s="518"/>
      <c r="BUL15" s="518"/>
      <c r="BUM15" s="518"/>
      <c r="BUN15" s="518"/>
      <c r="BUO15" s="518"/>
      <c r="BUP15" s="518"/>
      <c r="BUQ15" s="518"/>
      <c r="BUR15" s="518"/>
      <c r="BUS15" s="518"/>
      <c r="BUT15" s="518"/>
      <c r="BUU15" s="518"/>
      <c r="BUV15" s="518"/>
      <c r="BUW15" s="518"/>
      <c r="BUX15" s="518"/>
      <c r="BUY15" s="518"/>
      <c r="BUZ15" s="518"/>
      <c r="BVA15" s="518"/>
      <c r="BVB15" s="518"/>
      <c r="BVC15" s="518"/>
      <c r="BVD15" s="518"/>
      <c r="BVE15" s="518"/>
      <c r="BVF15" s="518"/>
      <c r="BVG15" s="518"/>
      <c r="BVH15" s="518"/>
      <c r="BVI15" s="518"/>
      <c r="BVJ15" s="518"/>
      <c r="BVK15" s="518"/>
      <c r="BVL15" s="518"/>
      <c r="BVM15" s="518"/>
      <c r="BVN15" s="518"/>
      <c r="BVO15" s="518"/>
      <c r="BVP15" s="518"/>
      <c r="BVQ15" s="518"/>
      <c r="BVR15" s="518"/>
      <c r="BVS15" s="518"/>
      <c r="BVT15" s="518"/>
      <c r="BVU15" s="518"/>
      <c r="BVV15" s="518"/>
      <c r="BVW15" s="518"/>
      <c r="BVX15" s="518"/>
      <c r="BVY15" s="518"/>
      <c r="BVZ15" s="518"/>
      <c r="BWA15" s="518"/>
      <c r="BWB15" s="518"/>
      <c r="BWC15" s="518"/>
      <c r="BWD15" s="518"/>
      <c r="BWE15" s="518"/>
      <c r="BWF15" s="518"/>
      <c r="BWG15" s="518"/>
      <c r="BWH15" s="518"/>
      <c r="BWI15" s="518"/>
      <c r="BWJ15" s="518"/>
      <c r="BWK15" s="518"/>
      <c r="BWL15" s="518"/>
      <c r="BWM15" s="518"/>
      <c r="BWN15" s="518"/>
      <c r="BWO15" s="518"/>
      <c r="BWP15" s="518"/>
      <c r="BWQ15" s="518"/>
      <c r="BWR15" s="518"/>
      <c r="BWS15" s="518"/>
      <c r="BWT15" s="518"/>
      <c r="BWU15" s="518"/>
      <c r="BWV15" s="518"/>
      <c r="BWW15" s="518"/>
      <c r="BWX15" s="518"/>
      <c r="BWY15" s="518"/>
      <c r="BWZ15" s="518"/>
      <c r="BXA15" s="518"/>
      <c r="BXB15" s="518"/>
      <c r="BXC15" s="518"/>
      <c r="BXD15" s="518"/>
      <c r="BXE15" s="518"/>
      <c r="BXF15" s="518"/>
      <c r="BXG15" s="518"/>
      <c r="BXH15" s="518"/>
      <c r="BXI15" s="518"/>
      <c r="BXJ15" s="518"/>
      <c r="BXK15" s="518"/>
      <c r="BXL15" s="518"/>
      <c r="BXM15" s="518"/>
      <c r="BXN15" s="518"/>
      <c r="BXO15" s="518"/>
      <c r="BXP15" s="518"/>
      <c r="BXQ15" s="518"/>
      <c r="BXR15" s="518"/>
      <c r="BXS15" s="518"/>
      <c r="BXT15" s="518"/>
      <c r="BXU15" s="518"/>
      <c r="BXV15" s="518"/>
      <c r="BXW15" s="518"/>
      <c r="BXX15" s="518"/>
      <c r="BXY15" s="518"/>
      <c r="BXZ15" s="518"/>
      <c r="BYA15" s="518"/>
      <c r="BYB15" s="518"/>
      <c r="BYC15" s="518"/>
      <c r="BYD15" s="518"/>
      <c r="BYE15" s="518"/>
      <c r="BYF15" s="518"/>
      <c r="BYG15" s="518"/>
      <c r="BYH15" s="518"/>
      <c r="BYI15" s="518"/>
      <c r="BYJ15" s="518"/>
      <c r="BYK15" s="518"/>
      <c r="BYL15" s="518"/>
      <c r="BYM15" s="518"/>
      <c r="BYN15" s="518"/>
      <c r="BYO15" s="518"/>
      <c r="BYP15" s="518"/>
      <c r="BYQ15" s="518"/>
      <c r="BYR15" s="518"/>
      <c r="BYS15" s="518"/>
      <c r="BYT15" s="518"/>
      <c r="BYU15" s="518"/>
      <c r="BYV15" s="518"/>
      <c r="BYW15" s="518"/>
      <c r="BYX15" s="518"/>
      <c r="BYY15" s="518"/>
      <c r="BYZ15" s="518"/>
      <c r="BZA15" s="518"/>
      <c r="BZB15" s="518"/>
      <c r="BZC15" s="518"/>
      <c r="BZD15" s="518"/>
      <c r="BZE15" s="518"/>
      <c r="BZF15" s="518"/>
      <c r="BZG15" s="518"/>
      <c r="BZH15" s="518"/>
      <c r="BZI15" s="518"/>
      <c r="BZJ15" s="518"/>
      <c r="BZK15" s="518"/>
      <c r="BZL15" s="518"/>
      <c r="BZM15" s="518"/>
      <c r="BZN15" s="518"/>
      <c r="BZO15" s="518"/>
      <c r="BZP15" s="518"/>
      <c r="BZQ15" s="518"/>
      <c r="BZR15" s="518"/>
      <c r="BZS15" s="518"/>
      <c r="BZT15" s="518"/>
      <c r="BZU15" s="518"/>
      <c r="BZV15" s="518"/>
      <c r="BZW15" s="518"/>
      <c r="BZX15" s="518"/>
      <c r="BZY15" s="518"/>
      <c r="BZZ15" s="518"/>
      <c r="CAA15" s="518"/>
      <c r="CAB15" s="518"/>
      <c r="CAC15" s="518"/>
      <c r="CAD15" s="518"/>
      <c r="CAE15" s="518"/>
      <c r="CAF15" s="518"/>
      <c r="CAG15" s="518"/>
      <c r="CAH15" s="518"/>
      <c r="CAI15" s="518"/>
      <c r="CAJ15" s="518"/>
      <c r="CAK15" s="518"/>
      <c r="CAL15" s="518"/>
      <c r="CAM15" s="518"/>
      <c r="CAN15" s="518"/>
      <c r="CAO15" s="518"/>
      <c r="CAP15" s="518"/>
      <c r="CAQ15" s="518"/>
      <c r="CAR15" s="518"/>
      <c r="CAS15" s="518"/>
      <c r="CAT15" s="518"/>
      <c r="CAU15" s="518"/>
      <c r="CAV15" s="518"/>
      <c r="CAW15" s="518"/>
      <c r="CAX15" s="518"/>
      <c r="CAY15" s="518"/>
      <c r="CAZ15" s="518"/>
      <c r="CBA15" s="518"/>
      <c r="CBB15" s="518"/>
      <c r="CBC15" s="518"/>
      <c r="CBD15" s="518"/>
      <c r="CBE15" s="518"/>
      <c r="CBF15" s="518"/>
      <c r="CBG15" s="518"/>
      <c r="CBH15" s="518"/>
      <c r="CBI15" s="518"/>
      <c r="CBJ15" s="518"/>
      <c r="CBK15" s="518"/>
      <c r="CBL15" s="518"/>
      <c r="CBM15" s="518"/>
      <c r="CBN15" s="518"/>
      <c r="CBO15" s="518"/>
      <c r="CBP15" s="518"/>
      <c r="CBQ15" s="518"/>
      <c r="CBR15" s="518"/>
      <c r="CBS15" s="518"/>
      <c r="CBT15" s="518"/>
      <c r="CBU15" s="518"/>
      <c r="CBV15" s="518"/>
      <c r="CBW15" s="518"/>
      <c r="CBX15" s="518"/>
      <c r="CBY15" s="518"/>
      <c r="CBZ15" s="518"/>
      <c r="CCA15" s="518"/>
      <c r="CCB15" s="518"/>
      <c r="CCC15" s="518"/>
      <c r="CCD15" s="518"/>
      <c r="CCE15" s="518"/>
      <c r="CCF15" s="518"/>
      <c r="CCG15" s="518"/>
      <c r="CCH15" s="518"/>
      <c r="CCI15" s="518"/>
      <c r="CCJ15" s="518"/>
      <c r="CCK15" s="518"/>
      <c r="CCL15" s="518"/>
      <c r="CCM15" s="518"/>
      <c r="CCN15" s="518"/>
      <c r="CCO15" s="518"/>
      <c r="CCP15" s="518"/>
      <c r="CCQ15" s="518"/>
      <c r="CCR15" s="518"/>
      <c r="CCS15" s="518"/>
      <c r="CCT15" s="518"/>
      <c r="CCU15" s="518"/>
      <c r="CCV15" s="518"/>
      <c r="CCW15" s="518"/>
      <c r="CCX15" s="518"/>
      <c r="CCY15" s="518"/>
      <c r="CCZ15" s="518"/>
      <c r="CDA15" s="518"/>
      <c r="CDB15" s="518"/>
      <c r="CDC15" s="518"/>
      <c r="CDD15" s="518"/>
      <c r="CDE15" s="518"/>
      <c r="CDF15" s="518"/>
      <c r="CDG15" s="518"/>
      <c r="CDH15" s="518"/>
      <c r="CDI15" s="518"/>
      <c r="CDJ15" s="518"/>
      <c r="CDK15" s="518"/>
      <c r="CDL15" s="518"/>
      <c r="CDM15" s="518"/>
      <c r="CDN15" s="518"/>
      <c r="CDO15" s="518"/>
      <c r="CDP15" s="518"/>
      <c r="CDQ15" s="518"/>
      <c r="CDR15" s="518"/>
      <c r="CDS15" s="518"/>
      <c r="CDT15" s="518"/>
      <c r="CDU15" s="518"/>
      <c r="CDV15" s="518"/>
      <c r="CDW15" s="518"/>
      <c r="CDX15" s="518"/>
      <c r="CDY15" s="518"/>
      <c r="CDZ15" s="518"/>
      <c r="CEA15" s="518"/>
      <c r="CEB15" s="518"/>
      <c r="CEC15" s="518"/>
      <c r="CED15" s="518"/>
      <c r="CEE15" s="518"/>
      <c r="CEF15" s="518"/>
      <c r="CEG15" s="518"/>
      <c r="CEH15" s="518"/>
      <c r="CEI15" s="518"/>
      <c r="CEJ15" s="518"/>
      <c r="CEK15" s="518"/>
      <c r="CEL15" s="518"/>
      <c r="CEM15" s="518"/>
      <c r="CEN15" s="518"/>
      <c r="CEO15" s="518"/>
      <c r="CEP15" s="518"/>
      <c r="CEQ15" s="518"/>
      <c r="CER15" s="518"/>
      <c r="CES15" s="518"/>
      <c r="CET15" s="518"/>
      <c r="CEU15" s="518"/>
      <c r="CEV15" s="518"/>
      <c r="CEW15" s="518"/>
      <c r="CEX15" s="518"/>
      <c r="CEY15" s="518"/>
      <c r="CEZ15" s="518"/>
      <c r="CFA15" s="518"/>
      <c r="CFB15" s="518"/>
      <c r="CFC15" s="518"/>
      <c r="CFD15" s="518"/>
      <c r="CFE15" s="518"/>
      <c r="CFF15" s="518"/>
      <c r="CFG15" s="518"/>
      <c r="CFH15" s="518"/>
      <c r="CFI15" s="518"/>
      <c r="CFJ15" s="518"/>
      <c r="CFK15" s="518"/>
      <c r="CFL15" s="518"/>
      <c r="CFM15" s="518"/>
      <c r="CFN15" s="518"/>
      <c r="CFO15" s="518"/>
      <c r="CFP15" s="518"/>
      <c r="CFQ15" s="518"/>
      <c r="CFR15" s="518"/>
      <c r="CFS15" s="518"/>
      <c r="CFT15" s="518"/>
      <c r="CFU15" s="518"/>
      <c r="CFV15" s="518"/>
      <c r="CFW15" s="518"/>
      <c r="CFX15" s="518"/>
      <c r="CFY15" s="518"/>
      <c r="CFZ15" s="518"/>
      <c r="CGA15" s="518"/>
      <c r="CGB15" s="518"/>
      <c r="CGC15" s="518"/>
      <c r="CGD15" s="518"/>
      <c r="CGE15" s="518"/>
      <c r="CGF15" s="518"/>
      <c r="CGG15" s="518"/>
      <c r="CGH15" s="518"/>
      <c r="CGI15" s="518"/>
      <c r="CGJ15" s="518"/>
      <c r="CGK15" s="518"/>
      <c r="CGL15" s="518"/>
      <c r="CGM15" s="518"/>
      <c r="CGN15" s="518"/>
      <c r="CGO15" s="518"/>
      <c r="CGP15" s="518"/>
      <c r="CGQ15" s="518"/>
      <c r="CGR15" s="518"/>
      <c r="CGS15" s="518"/>
      <c r="CGT15" s="518"/>
      <c r="CGU15" s="518"/>
      <c r="CGV15" s="518"/>
      <c r="CGW15" s="518"/>
      <c r="CGX15" s="518"/>
      <c r="CGY15" s="518"/>
      <c r="CGZ15" s="518"/>
      <c r="CHA15" s="518"/>
      <c r="CHB15" s="518"/>
      <c r="CHC15" s="518"/>
      <c r="CHD15" s="518"/>
      <c r="CHE15" s="518"/>
      <c r="CHF15" s="518"/>
      <c r="CHG15" s="518"/>
      <c r="CHH15" s="518"/>
      <c r="CHI15" s="518"/>
      <c r="CHJ15" s="518"/>
      <c r="CHK15" s="518"/>
      <c r="CHL15" s="518"/>
      <c r="CHM15" s="518"/>
      <c r="CHN15" s="518"/>
      <c r="CHO15" s="518"/>
      <c r="CHP15" s="518"/>
      <c r="CHQ15" s="518"/>
      <c r="CHR15" s="518"/>
      <c r="CHS15" s="518"/>
      <c r="CHT15" s="518"/>
      <c r="CHU15" s="518"/>
      <c r="CHV15" s="518"/>
      <c r="CHW15" s="518"/>
      <c r="CHX15" s="518"/>
      <c r="CHY15" s="518"/>
      <c r="CHZ15" s="518"/>
      <c r="CIA15" s="518"/>
      <c r="CIB15" s="518"/>
      <c r="CIC15" s="518"/>
      <c r="CID15" s="518"/>
      <c r="CIE15" s="518"/>
      <c r="CIF15" s="518"/>
      <c r="CIG15" s="518"/>
      <c r="CIH15" s="518"/>
      <c r="CII15" s="518"/>
      <c r="CIJ15" s="518"/>
      <c r="CIK15" s="518"/>
      <c r="CIL15" s="518"/>
      <c r="CIM15" s="518"/>
      <c r="CIN15" s="518"/>
      <c r="CIO15" s="518"/>
      <c r="CIP15" s="518"/>
      <c r="CIQ15" s="518"/>
      <c r="CIR15" s="518"/>
      <c r="CIS15" s="518"/>
      <c r="CIT15" s="518"/>
      <c r="CIU15" s="518"/>
      <c r="CIV15" s="518"/>
      <c r="CIW15" s="518"/>
      <c r="CIX15" s="518"/>
      <c r="CIY15" s="518"/>
      <c r="CIZ15" s="518"/>
      <c r="CJA15" s="518"/>
      <c r="CJB15" s="518"/>
      <c r="CJC15" s="518"/>
      <c r="CJD15" s="518"/>
      <c r="CJE15" s="518"/>
      <c r="CJF15" s="518"/>
      <c r="CJG15" s="518"/>
      <c r="CJH15" s="518"/>
      <c r="CJI15" s="518"/>
      <c r="CJJ15" s="518"/>
      <c r="CJK15" s="518"/>
      <c r="CJL15" s="518"/>
      <c r="CJM15" s="518"/>
      <c r="CJN15" s="518"/>
      <c r="CJO15" s="518"/>
      <c r="CJP15" s="518"/>
      <c r="CJQ15" s="518"/>
      <c r="CJR15" s="518"/>
      <c r="CJS15" s="518"/>
      <c r="CJT15" s="518"/>
      <c r="CJU15" s="518"/>
      <c r="CJV15" s="518"/>
      <c r="CJW15" s="518"/>
      <c r="CJX15" s="518"/>
      <c r="CJY15" s="518"/>
      <c r="CJZ15" s="518"/>
      <c r="CKA15" s="518"/>
      <c r="CKB15" s="518"/>
      <c r="CKC15" s="518"/>
      <c r="CKD15" s="518"/>
      <c r="CKE15" s="518"/>
      <c r="CKF15" s="518"/>
      <c r="CKG15" s="518"/>
      <c r="CKH15" s="518"/>
      <c r="CKI15" s="518"/>
      <c r="CKJ15" s="518"/>
      <c r="CKK15" s="518"/>
      <c r="CKL15" s="518"/>
      <c r="CKM15" s="518"/>
      <c r="CKN15" s="518"/>
      <c r="CKO15" s="518"/>
      <c r="CKP15" s="518"/>
      <c r="CKQ15" s="518"/>
      <c r="CKR15" s="518"/>
      <c r="CKS15" s="518"/>
      <c r="CKT15" s="518"/>
      <c r="CKU15" s="518"/>
      <c r="CKV15" s="518"/>
      <c r="CKW15" s="518"/>
      <c r="CKX15" s="518"/>
      <c r="CKY15" s="518"/>
      <c r="CKZ15" s="518"/>
      <c r="CLA15" s="518"/>
      <c r="CLB15" s="518"/>
      <c r="CLC15" s="518"/>
      <c r="CLD15" s="518"/>
      <c r="CLE15" s="518"/>
      <c r="CLF15" s="518"/>
      <c r="CLG15" s="518"/>
      <c r="CLH15" s="518"/>
      <c r="CLI15" s="518"/>
      <c r="CLJ15" s="518"/>
      <c r="CLK15" s="518"/>
      <c r="CLL15" s="518"/>
      <c r="CLM15" s="518"/>
      <c r="CLN15" s="518"/>
      <c r="CLO15" s="518"/>
      <c r="CLP15" s="518"/>
      <c r="CLQ15" s="518"/>
      <c r="CLR15" s="518"/>
      <c r="CLS15" s="518"/>
      <c r="CLT15" s="518"/>
      <c r="CLU15" s="518"/>
      <c r="CLV15" s="518"/>
      <c r="CLW15" s="518"/>
      <c r="CLX15" s="518"/>
      <c r="CLY15" s="518"/>
      <c r="CLZ15" s="518"/>
      <c r="CMA15" s="518"/>
      <c r="CMB15" s="518"/>
      <c r="CMC15" s="518"/>
      <c r="CMD15" s="518"/>
      <c r="CME15" s="518"/>
      <c r="CMF15" s="518"/>
      <c r="CMG15" s="518"/>
      <c r="CMH15" s="518"/>
      <c r="CMI15" s="518"/>
      <c r="CMJ15" s="518"/>
      <c r="CMK15" s="518"/>
      <c r="CML15" s="518"/>
      <c r="CMM15" s="518"/>
      <c r="CMN15" s="518"/>
      <c r="CMO15" s="518"/>
      <c r="CMP15" s="518"/>
      <c r="CMQ15" s="518"/>
      <c r="CMR15" s="518"/>
      <c r="CMS15" s="518"/>
      <c r="CMT15" s="518"/>
      <c r="CMU15" s="518"/>
      <c r="CMV15" s="518"/>
      <c r="CMW15" s="518"/>
      <c r="CMX15" s="518"/>
      <c r="CMY15" s="518"/>
      <c r="CMZ15" s="518"/>
      <c r="CNA15" s="518"/>
      <c r="CNB15" s="518"/>
      <c r="CNC15" s="518"/>
      <c r="CND15" s="518"/>
      <c r="CNE15" s="518"/>
      <c r="CNF15" s="518"/>
      <c r="CNG15" s="518"/>
      <c r="CNH15" s="518"/>
      <c r="CNI15" s="518"/>
      <c r="CNJ15" s="518"/>
      <c r="CNK15" s="518"/>
      <c r="CNL15" s="518"/>
      <c r="CNM15" s="518"/>
      <c r="CNN15" s="518"/>
      <c r="CNO15" s="518"/>
      <c r="CNP15" s="518"/>
      <c r="CNQ15" s="518"/>
      <c r="CNR15" s="518"/>
      <c r="CNS15" s="518"/>
      <c r="CNT15" s="518"/>
      <c r="CNU15" s="518"/>
      <c r="CNV15" s="518"/>
      <c r="CNW15" s="518"/>
      <c r="CNX15" s="518"/>
      <c r="CNY15" s="518"/>
      <c r="CNZ15" s="518"/>
      <c r="COA15" s="518"/>
      <c r="COB15" s="518"/>
      <c r="COC15" s="518"/>
      <c r="COD15" s="518"/>
      <c r="COE15" s="518"/>
      <c r="COF15" s="518"/>
      <c r="COG15" s="518"/>
      <c r="COH15" s="518"/>
      <c r="COI15" s="518"/>
      <c r="COJ15" s="518"/>
      <c r="COK15" s="518"/>
      <c r="COL15" s="518"/>
      <c r="COM15" s="518"/>
      <c r="CON15" s="518"/>
      <c r="COO15" s="518"/>
      <c r="COP15" s="518"/>
      <c r="COQ15" s="518"/>
      <c r="COR15" s="518"/>
      <c r="COS15" s="518"/>
      <c r="COT15" s="518"/>
      <c r="COU15" s="518"/>
      <c r="COV15" s="518"/>
      <c r="COW15" s="518"/>
      <c r="COX15" s="518"/>
      <c r="COY15" s="518"/>
      <c r="COZ15" s="518"/>
      <c r="CPA15" s="518"/>
      <c r="CPB15" s="518"/>
      <c r="CPC15" s="518"/>
      <c r="CPD15" s="518"/>
      <c r="CPE15" s="518"/>
      <c r="CPF15" s="518"/>
      <c r="CPG15" s="518"/>
      <c r="CPH15" s="518"/>
      <c r="CPI15" s="518"/>
      <c r="CPJ15" s="518"/>
      <c r="CPK15" s="518"/>
      <c r="CPL15" s="518"/>
      <c r="CPM15" s="518"/>
      <c r="CPN15" s="518"/>
      <c r="CPO15" s="518"/>
      <c r="CPP15" s="518"/>
      <c r="CPQ15" s="518"/>
      <c r="CPR15" s="518"/>
      <c r="CPS15" s="518"/>
      <c r="CPT15" s="518"/>
      <c r="CPU15" s="518"/>
      <c r="CPV15" s="518"/>
      <c r="CPW15" s="518"/>
      <c r="CPX15" s="518"/>
      <c r="CPY15" s="518"/>
      <c r="CPZ15" s="518"/>
      <c r="CQA15" s="518"/>
      <c r="CQB15" s="518"/>
      <c r="CQC15" s="518"/>
      <c r="CQD15" s="518"/>
      <c r="CQE15" s="518"/>
      <c r="CQF15" s="518"/>
      <c r="CQG15" s="518"/>
      <c r="CQH15" s="518"/>
      <c r="CQI15" s="518"/>
      <c r="CQJ15" s="518"/>
      <c r="CQK15" s="518"/>
      <c r="CQL15" s="518"/>
      <c r="CQM15" s="518"/>
      <c r="CQN15" s="518"/>
      <c r="CQO15" s="518"/>
      <c r="CQP15" s="518"/>
      <c r="CQQ15" s="518"/>
      <c r="CQR15" s="518"/>
      <c r="CQS15" s="518"/>
      <c r="CQT15" s="518"/>
      <c r="CQU15" s="518"/>
      <c r="CQV15" s="518"/>
      <c r="CQW15" s="518"/>
      <c r="CQX15" s="518"/>
      <c r="CQY15" s="518"/>
      <c r="CQZ15" s="518"/>
      <c r="CRA15" s="518"/>
      <c r="CRB15" s="518"/>
      <c r="CRC15" s="518"/>
      <c r="CRD15" s="518"/>
      <c r="CRE15" s="518"/>
      <c r="CRF15" s="518"/>
      <c r="CRG15" s="518"/>
      <c r="CRH15" s="518"/>
      <c r="CRI15" s="518"/>
      <c r="CRJ15" s="518"/>
      <c r="CRK15" s="518"/>
      <c r="CRL15" s="518"/>
      <c r="CRM15" s="518"/>
      <c r="CRN15" s="518"/>
      <c r="CRO15" s="518"/>
      <c r="CRP15" s="518"/>
      <c r="CRQ15" s="518"/>
      <c r="CRR15" s="518"/>
      <c r="CRS15" s="518"/>
      <c r="CRT15" s="518"/>
      <c r="CRU15" s="518"/>
      <c r="CRV15" s="518"/>
      <c r="CRW15" s="518"/>
      <c r="CRX15" s="518"/>
      <c r="CRY15" s="518"/>
      <c r="CRZ15" s="518"/>
      <c r="CSA15" s="518"/>
      <c r="CSB15" s="518"/>
      <c r="CSC15" s="518"/>
      <c r="CSD15" s="518"/>
      <c r="CSE15" s="518"/>
      <c r="CSF15" s="518"/>
      <c r="CSG15" s="518"/>
      <c r="CSH15" s="518"/>
      <c r="CSI15" s="518"/>
      <c r="CSJ15" s="518"/>
      <c r="CSK15" s="518"/>
      <c r="CSL15" s="518"/>
      <c r="CSM15" s="518"/>
      <c r="CSN15" s="518"/>
      <c r="CSO15" s="518"/>
      <c r="CSP15" s="518"/>
      <c r="CSQ15" s="518"/>
      <c r="CSR15" s="518"/>
      <c r="CSS15" s="518"/>
      <c r="CST15" s="518"/>
      <c r="CSU15" s="518"/>
      <c r="CSV15" s="518"/>
      <c r="CSW15" s="518"/>
      <c r="CSX15" s="518"/>
      <c r="CSY15" s="518"/>
      <c r="CSZ15" s="518"/>
      <c r="CTA15" s="518"/>
      <c r="CTB15" s="518"/>
      <c r="CTC15" s="518"/>
      <c r="CTD15" s="518"/>
      <c r="CTE15" s="518"/>
      <c r="CTF15" s="518"/>
      <c r="CTG15" s="518"/>
      <c r="CTH15" s="518"/>
      <c r="CTI15" s="518"/>
      <c r="CTJ15" s="518"/>
      <c r="CTK15" s="518"/>
      <c r="CTL15" s="518"/>
      <c r="CTM15" s="518"/>
      <c r="CTN15" s="518"/>
      <c r="CTO15" s="518"/>
      <c r="CTP15" s="518"/>
      <c r="CTQ15" s="518"/>
      <c r="CTR15" s="518"/>
      <c r="CTS15" s="518"/>
      <c r="CTT15" s="518"/>
      <c r="CTU15" s="518"/>
      <c r="CTV15" s="518"/>
      <c r="CTW15" s="518"/>
      <c r="CTX15" s="518"/>
      <c r="CTY15" s="518"/>
      <c r="CTZ15" s="518"/>
      <c r="CUA15" s="518"/>
      <c r="CUB15" s="518"/>
      <c r="CUC15" s="518"/>
      <c r="CUD15" s="518"/>
      <c r="CUE15" s="518"/>
      <c r="CUF15" s="518"/>
      <c r="CUG15" s="518"/>
      <c r="CUH15" s="518"/>
      <c r="CUI15" s="518"/>
      <c r="CUJ15" s="518"/>
      <c r="CUK15" s="518"/>
      <c r="CUL15" s="518"/>
      <c r="CUM15" s="518"/>
      <c r="CUN15" s="518"/>
      <c r="CUO15" s="518"/>
      <c r="CUP15" s="518"/>
      <c r="CUQ15" s="518"/>
      <c r="CUR15" s="518"/>
      <c r="CUS15" s="518"/>
      <c r="CUT15" s="518"/>
      <c r="CUU15" s="518"/>
      <c r="CUV15" s="518"/>
      <c r="CUW15" s="518"/>
      <c r="CUX15" s="518"/>
      <c r="CUY15" s="518"/>
      <c r="CUZ15" s="518"/>
      <c r="CVA15" s="518"/>
      <c r="CVB15" s="518"/>
      <c r="CVC15" s="518"/>
      <c r="CVD15" s="518"/>
      <c r="CVE15" s="518"/>
      <c r="CVF15" s="518"/>
      <c r="CVG15" s="518"/>
      <c r="CVH15" s="518"/>
      <c r="CVI15" s="518"/>
      <c r="CVJ15" s="518"/>
      <c r="CVK15" s="518"/>
      <c r="CVL15" s="518"/>
      <c r="CVM15" s="518"/>
      <c r="CVN15" s="518"/>
      <c r="CVO15" s="518"/>
      <c r="CVP15" s="518"/>
      <c r="CVQ15" s="518"/>
      <c r="CVR15" s="518"/>
      <c r="CVS15" s="518"/>
      <c r="CVT15" s="518"/>
      <c r="CVU15" s="518"/>
      <c r="CVV15" s="518"/>
      <c r="CVW15" s="518"/>
      <c r="CVX15" s="518"/>
      <c r="CVY15" s="518"/>
      <c r="CVZ15" s="518"/>
      <c r="CWA15" s="518"/>
      <c r="CWB15" s="518"/>
      <c r="CWC15" s="518"/>
      <c r="CWD15" s="518"/>
      <c r="CWE15" s="518"/>
      <c r="CWF15" s="518"/>
      <c r="CWG15" s="518"/>
      <c r="CWH15" s="518"/>
      <c r="CWI15" s="518"/>
      <c r="CWJ15" s="518"/>
      <c r="CWK15" s="518"/>
      <c r="CWL15" s="518"/>
      <c r="CWM15" s="518"/>
      <c r="CWN15" s="518"/>
      <c r="CWO15" s="518"/>
      <c r="CWP15" s="518"/>
      <c r="CWQ15" s="518"/>
      <c r="CWR15" s="518"/>
      <c r="CWS15" s="518"/>
      <c r="CWT15" s="518"/>
      <c r="CWU15" s="518"/>
      <c r="CWV15" s="518"/>
      <c r="CWW15" s="518"/>
      <c r="CWX15" s="518"/>
      <c r="CWY15" s="518"/>
      <c r="CWZ15" s="518"/>
      <c r="CXA15" s="518"/>
      <c r="CXB15" s="518"/>
      <c r="CXC15" s="518"/>
      <c r="CXD15" s="518"/>
      <c r="CXE15" s="518"/>
      <c r="CXF15" s="518"/>
      <c r="CXG15" s="518"/>
      <c r="CXH15" s="518"/>
      <c r="CXI15" s="518"/>
      <c r="CXJ15" s="518"/>
      <c r="CXK15" s="518"/>
      <c r="CXL15" s="518"/>
      <c r="CXM15" s="518"/>
      <c r="CXN15" s="518"/>
      <c r="CXO15" s="518"/>
      <c r="CXP15" s="518"/>
      <c r="CXQ15" s="518"/>
      <c r="CXR15" s="518"/>
      <c r="CXS15" s="518"/>
      <c r="CXT15" s="518"/>
      <c r="CXU15" s="518"/>
      <c r="CXV15" s="518"/>
      <c r="CXW15" s="518"/>
      <c r="CXX15" s="518"/>
      <c r="CXY15" s="518"/>
      <c r="CXZ15" s="518"/>
      <c r="CYA15" s="518"/>
      <c r="CYB15" s="518"/>
      <c r="CYC15" s="518"/>
      <c r="CYD15" s="518"/>
      <c r="CYE15" s="518"/>
      <c r="CYF15" s="518"/>
      <c r="CYG15" s="518"/>
      <c r="CYH15" s="518"/>
      <c r="CYI15" s="518"/>
      <c r="CYJ15" s="518"/>
      <c r="CYK15" s="518"/>
      <c r="CYL15" s="518"/>
      <c r="CYM15" s="518"/>
      <c r="CYN15" s="518"/>
      <c r="CYO15" s="518"/>
      <c r="CYP15" s="518"/>
      <c r="CYQ15" s="518"/>
      <c r="CYR15" s="518"/>
      <c r="CYS15" s="518"/>
      <c r="CYT15" s="518"/>
      <c r="CYU15" s="518"/>
      <c r="CYV15" s="518"/>
      <c r="CYW15" s="518"/>
      <c r="CYX15" s="518"/>
      <c r="CYY15" s="518"/>
      <c r="CYZ15" s="518"/>
      <c r="CZA15" s="518"/>
      <c r="CZB15" s="518"/>
      <c r="CZC15" s="518"/>
      <c r="CZD15" s="518"/>
      <c r="CZE15" s="518"/>
      <c r="CZF15" s="518"/>
      <c r="CZG15" s="518"/>
      <c r="CZH15" s="518"/>
      <c r="CZI15" s="518"/>
      <c r="CZJ15" s="518"/>
      <c r="CZK15" s="518"/>
      <c r="CZL15" s="518"/>
      <c r="CZM15" s="518"/>
      <c r="CZN15" s="518"/>
      <c r="CZO15" s="518"/>
      <c r="CZP15" s="518"/>
      <c r="CZQ15" s="518"/>
      <c r="CZR15" s="518"/>
      <c r="CZS15" s="518"/>
      <c r="CZT15" s="518"/>
      <c r="CZU15" s="518"/>
      <c r="CZV15" s="518"/>
      <c r="CZW15" s="518"/>
      <c r="CZX15" s="518"/>
      <c r="CZY15" s="518"/>
      <c r="CZZ15" s="518"/>
      <c r="DAA15" s="518"/>
      <c r="DAB15" s="518"/>
      <c r="DAC15" s="518"/>
      <c r="DAD15" s="518"/>
      <c r="DAE15" s="518"/>
      <c r="DAF15" s="518"/>
      <c r="DAG15" s="518"/>
      <c r="DAH15" s="518"/>
      <c r="DAI15" s="518"/>
      <c r="DAJ15" s="518"/>
      <c r="DAK15" s="518"/>
      <c r="DAL15" s="518"/>
      <c r="DAM15" s="518"/>
      <c r="DAN15" s="518"/>
      <c r="DAO15" s="518"/>
      <c r="DAP15" s="518"/>
      <c r="DAQ15" s="518"/>
      <c r="DAR15" s="518"/>
      <c r="DAS15" s="518"/>
      <c r="DAT15" s="518"/>
      <c r="DAU15" s="518"/>
      <c r="DAV15" s="518"/>
      <c r="DAW15" s="518"/>
      <c r="DAX15" s="518"/>
      <c r="DAY15" s="518"/>
      <c r="DAZ15" s="518"/>
      <c r="DBA15" s="518"/>
      <c r="DBB15" s="518"/>
      <c r="DBC15" s="518"/>
      <c r="DBD15" s="518"/>
      <c r="DBE15" s="518"/>
      <c r="DBF15" s="518"/>
      <c r="DBG15" s="518"/>
      <c r="DBH15" s="518"/>
      <c r="DBI15" s="518"/>
      <c r="DBJ15" s="518"/>
      <c r="DBK15" s="518"/>
      <c r="DBL15" s="518"/>
      <c r="DBM15" s="518"/>
      <c r="DBN15" s="518"/>
      <c r="DBO15" s="518"/>
      <c r="DBP15" s="518"/>
      <c r="DBQ15" s="518"/>
      <c r="DBR15" s="518"/>
      <c r="DBS15" s="518"/>
      <c r="DBT15" s="518"/>
      <c r="DBU15" s="518"/>
      <c r="DBV15" s="518"/>
      <c r="DBW15" s="518"/>
      <c r="DBX15" s="518"/>
      <c r="DBY15" s="518"/>
      <c r="DBZ15" s="518"/>
      <c r="DCA15" s="518"/>
      <c r="DCB15" s="518"/>
      <c r="DCC15" s="518"/>
      <c r="DCD15" s="518"/>
      <c r="DCE15" s="518"/>
      <c r="DCF15" s="518"/>
      <c r="DCG15" s="518"/>
      <c r="DCH15" s="518"/>
      <c r="DCI15" s="518"/>
      <c r="DCJ15" s="518"/>
      <c r="DCK15" s="518"/>
      <c r="DCL15" s="518"/>
      <c r="DCM15" s="518"/>
      <c r="DCN15" s="518"/>
      <c r="DCO15" s="518"/>
      <c r="DCP15" s="518"/>
      <c r="DCQ15" s="518"/>
      <c r="DCR15" s="518"/>
      <c r="DCS15" s="518"/>
      <c r="DCT15" s="518"/>
      <c r="DCU15" s="518"/>
      <c r="DCV15" s="518"/>
      <c r="DCW15" s="518"/>
      <c r="DCX15" s="518"/>
      <c r="DCY15" s="518"/>
      <c r="DCZ15" s="518"/>
      <c r="DDA15" s="518"/>
      <c r="DDB15" s="518"/>
      <c r="DDC15" s="518"/>
      <c r="DDD15" s="518"/>
      <c r="DDE15" s="518"/>
      <c r="DDF15" s="518"/>
      <c r="DDG15" s="518"/>
      <c r="DDH15" s="518"/>
      <c r="DDI15" s="518"/>
      <c r="DDJ15" s="518"/>
      <c r="DDK15" s="518"/>
      <c r="DDL15" s="518"/>
      <c r="DDM15" s="518"/>
      <c r="DDN15" s="518"/>
      <c r="DDO15" s="518"/>
      <c r="DDP15" s="518"/>
      <c r="DDQ15" s="518"/>
      <c r="DDR15" s="518"/>
      <c r="DDS15" s="518"/>
      <c r="DDT15" s="518"/>
      <c r="DDU15" s="518"/>
      <c r="DDV15" s="518"/>
      <c r="DDW15" s="518"/>
      <c r="DDX15" s="518"/>
      <c r="DDY15" s="518"/>
      <c r="DDZ15" s="518"/>
      <c r="DEA15" s="518"/>
      <c r="DEB15" s="518"/>
      <c r="DEC15" s="518"/>
      <c r="DED15" s="518"/>
      <c r="DEE15" s="518"/>
      <c r="DEF15" s="518"/>
      <c r="DEG15" s="518"/>
      <c r="DEH15" s="518"/>
      <c r="DEI15" s="518"/>
      <c r="DEJ15" s="518"/>
      <c r="DEK15" s="518"/>
      <c r="DEL15" s="518"/>
      <c r="DEM15" s="518"/>
      <c r="DEN15" s="518"/>
      <c r="DEO15" s="518"/>
      <c r="DEP15" s="518"/>
      <c r="DEQ15" s="518"/>
      <c r="DER15" s="518"/>
      <c r="DES15" s="518"/>
      <c r="DET15" s="518"/>
      <c r="DEU15" s="518"/>
      <c r="DEV15" s="518"/>
      <c r="DEW15" s="518"/>
      <c r="DEX15" s="518"/>
      <c r="DEY15" s="518"/>
      <c r="DEZ15" s="518"/>
      <c r="DFA15" s="518"/>
      <c r="DFB15" s="518"/>
      <c r="DFC15" s="518"/>
      <c r="DFD15" s="518"/>
      <c r="DFE15" s="518"/>
      <c r="DFF15" s="518"/>
      <c r="DFG15" s="518"/>
      <c r="DFH15" s="518"/>
      <c r="DFI15" s="518"/>
      <c r="DFJ15" s="518"/>
      <c r="DFK15" s="518"/>
      <c r="DFL15" s="518"/>
      <c r="DFM15" s="518"/>
      <c r="DFN15" s="518"/>
      <c r="DFO15" s="518"/>
      <c r="DFP15" s="518"/>
      <c r="DFQ15" s="518"/>
      <c r="DFR15" s="518"/>
      <c r="DFS15" s="518"/>
      <c r="DFT15" s="518"/>
      <c r="DFU15" s="518"/>
      <c r="DFV15" s="518"/>
      <c r="DFW15" s="518"/>
      <c r="DFX15" s="518"/>
      <c r="DFY15" s="518"/>
      <c r="DFZ15" s="518"/>
      <c r="DGA15" s="518"/>
      <c r="DGB15" s="518"/>
      <c r="DGC15" s="518"/>
      <c r="DGD15" s="518"/>
      <c r="DGE15" s="518"/>
      <c r="DGF15" s="518"/>
      <c r="DGG15" s="518"/>
      <c r="DGH15" s="518"/>
      <c r="DGI15" s="518"/>
      <c r="DGJ15" s="518"/>
      <c r="DGK15" s="518"/>
      <c r="DGL15" s="518"/>
      <c r="DGM15" s="518"/>
      <c r="DGN15" s="518"/>
      <c r="DGO15" s="518"/>
      <c r="DGP15" s="518"/>
      <c r="DGQ15" s="518"/>
      <c r="DGR15" s="518"/>
      <c r="DGS15" s="518"/>
      <c r="DGT15" s="518"/>
      <c r="DGU15" s="518"/>
      <c r="DGV15" s="518"/>
      <c r="DGW15" s="518"/>
      <c r="DGX15" s="518"/>
      <c r="DGY15" s="518"/>
      <c r="DGZ15" s="518"/>
      <c r="DHA15" s="518"/>
      <c r="DHB15" s="518"/>
      <c r="DHC15" s="518"/>
      <c r="DHD15" s="518"/>
      <c r="DHE15" s="518"/>
      <c r="DHF15" s="518"/>
      <c r="DHG15" s="518"/>
      <c r="DHH15" s="518"/>
      <c r="DHI15" s="518"/>
      <c r="DHJ15" s="518"/>
      <c r="DHK15" s="518"/>
      <c r="DHL15" s="518"/>
      <c r="DHM15" s="518"/>
      <c r="DHN15" s="518"/>
      <c r="DHO15" s="518"/>
      <c r="DHP15" s="518"/>
      <c r="DHQ15" s="518"/>
      <c r="DHR15" s="518"/>
      <c r="DHS15" s="518"/>
      <c r="DHT15" s="518"/>
      <c r="DHU15" s="518"/>
      <c r="DHV15" s="518"/>
      <c r="DHW15" s="518"/>
      <c r="DHX15" s="518"/>
      <c r="DHY15" s="518"/>
      <c r="DHZ15" s="518"/>
      <c r="DIA15" s="518"/>
      <c r="DIB15" s="518"/>
      <c r="DIC15" s="518"/>
      <c r="DID15" s="518"/>
      <c r="DIE15" s="518"/>
      <c r="DIF15" s="518"/>
      <c r="DIG15" s="518"/>
      <c r="DIH15" s="518"/>
      <c r="DII15" s="518"/>
      <c r="DIJ15" s="518"/>
      <c r="DIK15" s="518"/>
      <c r="DIL15" s="518"/>
      <c r="DIM15" s="518"/>
      <c r="DIN15" s="518"/>
      <c r="DIO15" s="518"/>
      <c r="DIP15" s="518"/>
      <c r="DIQ15" s="518"/>
      <c r="DIR15" s="518"/>
      <c r="DIS15" s="518"/>
      <c r="DIT15" s="518"/>
      <c r="DIU15" s="518"/>
      <c r="DIV15" s="518"/>
      <c r="DIW15" s="518"/>
      <c r="DIX15" s="518"/>
      <c r="DIY15" s="518"/>
      <c r="DIZ15" s="518"/>
      <c r="DJA15" s="518"/>
      <c r="DJB15" s="518"/>
      <c r="DJC15" s="518"/>
      <c r="DJD15" s="518"/>
      <c r="DJE15" s="518"/>
      <c r="DJF15" s="518"/>
      <c r="DJG15" s="518"/>
      <c r="DJH15" s="518"/>
      <c r="DJI15" s="518"/>
      <c r="DJJ15" s="518"/>
      <c r="DJK15" s="518"/>
      <c r="DJL15" s="518"/>
      <c r="DJM15" s="518"/>
      <c r="DJN15" s="518"/>
      <c r="DJO15" s="518"/>
      <c r="DJP15" s="518"/>
      <c r="DJQ15" s="518"/>
      <c r="DJR15" s="518"/>
      <c r="DJS15" s="518"/>
      <c r="DJT15" s="518"/>
      <c r="DJU15" s="518"/>
      <c r="DJV15" s="518"/>
      <c r="DJW15" s="518"/>
      <c r="DJX15" s="518"/>
      <c r="DJY15" s="518"/>
      <c r="DJZ15" s="518"/>
      <c r="DKA15" s="518"/>
      <c r="DKB15" s="518"/>
      <c r="DKC15" s="518"/>
      <c r="DKD15" s="518"/>
      <c r="DKE15" s="518"/>
      <c r="DKF15" s="518"/>
      <c r="DKG15" s="518"/>
      <c r="DKH15" s="518"/>
      <c r="DKI15" s="518"/>
      <c r="DKJ15" s="518"/>
      <c r="DKK15" s="518"/>
      <c r="DKL15" s="518"/>
      <c r="DKM15" s="518"/>
      <c r="DKN15" s="518"/>
      <c r="DKO15" s="518"/>
      <c r="DKP15" s="518"/>
      <c r="DKQ15" s="518"/>
      <c r="DKR15" s="518"/>
      <c r="DKS15" s="518"/>
      <c r="DKT15" s="518"/>
      <c r="DKU15" s="518"/>
      <c r="DKV15" s="518"/>
      <c r="DKW15" s="518"/>
      <c r="DKX15" s="518"/>
      <c r="DKY15" s="518"/>
      <c r="DKZ15" s="518"/>
      <c r="DLA15" s="518"/>
      <c r="DLB15" s="518"/>
      <c r="DLC15" s="518"/>
      <c r="DLD15" s="518"/>
      <c r="DLE15" s="518"/>
      <c r="DLF15" s="518"/>
      <c r="DLG15" s="518"/>
      <c r="DLH15" s="518"/>
      <c r="DLI15" s="518"/>
      <c r="DLJ15" s="518"/>
      <c r="DLK15" s="518"/>
      <c r="DLL15" s="518"/>
      <c r="DLM15" s="518"/>
      <c r="DLN15" s="518"/>
      <c r="DLO15" s="518"/>
      <c r="DLP15" s="518"/>
      <c r="DLQ15" s="518"/>
      <c r="DLR15" s="518"/>
      <c r="DLS15" s="518"/>
      <c r="DLT15" s="518"/>
      <c r="DLU15" s="518"/>
      <c r="DLV15" s="518"/>
      <c r="DLW15" s="518"/>
      <c r="DLX15" s="518"/>
      <c r="DLY15" s="518"/>
      <c r="DLZ15" s="518"/>
      <c r="DMA15" s="518"/>
      <c r="DMB15" s="518"/>
      <c r="DMC15" s="518"/>
      <c r="DMD15" s="518"/>
      <c r="DME15" s="518"/>
      <c r="DMF15" s="518"/>
      <c r="DMG15" s="518"/>
      <c r="DMH15" s="518"/>
      <c r="DMI15" s="518"/>
      <c r="DMJ15" s="518"/>
      <c r="DMK15" s="518"/>
      <c r="DML15" s="518"/>
      <c r="DMM15" s="518"/>
      <c r="DMN15" s="518"/>
      <c r="DMO15" s="518"/>
      <c r="DMP15" s="518"/>
      <c r="DMQ15" s="518"/>
      <c r="DMR15" s="518"/>
      <c r="DMS15" s="518"/>
      <c r="DMT15" s="518"/>
      <c r="DMU15" s="518"/>
      <c r="DMV15" s="518"/>
      <c r="DMW15" s="518"/>
      <c r="DMX15" s="518"/>
      <c r="DMY15" s="518"/>
      <c r="DMZ15" s="518"/>
      <c r="DNA15" s="518"/>
      <c r="DNB15" s="518"/>
      <c r="DNC15" s="518"/>
      <c r="DND15" s="518"/>
      <c r="DNE15" s="518"/>
      <c r="DNF15" s="518"/>
      <c r="DNG15" s="518"/>
      <c r="DNH15" s="518"/>
      <c r="DNI15" s="518"/>
      <c r="DNJ15" s="518"/>
      <c r="DNK15" s="518"/>
      <c r="DNL15" s="518"/>
      <c r="DNM15" s="518"/>
      <c r="DNN15" s="518"/>
      <c r="DNO15" s="518"/>
      <c r="DNP15" s="518"/>
      <c r="DNQ15" s="518"/>
      <c r="DNR15" s="518"/>
      <c r="DNS15" s="518"/>
      <c r="DNT15" s="518"/>
      <c r="DNU15" s="518"/>
      <c r="DNV15" s="518"/>
      <c r="DNW15" s="518"/>
      <c r="DNX15" s="518"/>
      <c r="DNY15" s="518"/>
      <c r="DNZ15" s="518"/>
      <c r="DOA15" s="518"/>
      <c r="DOB15" s="518"/>
      <c r="DOC15" s="518"/>
      <c r="DOD15" s="518"/>
      <c r="DOE15" s="518"/>
      <c r="DOF15" s="518"/>
      <c r="DOG15" s="518"/>
      <c r="DOH15" s="518"/>
      <c r="DOI15" s="518"/>
      <c r="DOJ15" s="518"/>
      <c r="DOK15" s="518"/>
      <c r="DOL15" s="518"/>
      <c r="DOM15" s="518"/>
      <c r="DON15" s="518"/>
      <c r="DOO15" s="518"/>
      <c r="DOP15" s="518"/>
      <c r="DOQ15" s="518"/>
      <c r="DOR15" s="518"/>
      <c r="DOS15" s="518"/>
      <c r="DOT15" s="518"/>
      <c r="DOU15" s="518"/>
      <c r="DOV15" s="518"/>
      <c r="DOW15" s="518"/>
      <c r="DOX15" s="518"/>
      <c r="DOY15" s="518"/>
      <c r="DOZ15" s="518"/>
      <c r="DPA15" s="518"/>
      <c r="DPB15" s="518"/>
      <c r="DPC15" s="518"/>
      <c r="DPD15" s="518"/>
      <c r="DPE15" s="518"/>
      <c r="DPF15" s="518"/>
      <c r="DPG15" s="518"/>
      <c r="DPH15" s="518"/>
      <c r="DPI15" s="518"/>
      <c r="DPJ15" s="518"/>
      <c r="DPK15" s="518"/>
      <c r="DPL15" s="518"/>
      <c r="DPM15" s="518"/>
      <c r="DPN15" s="518"/>
      <c r="DPO15" s="518"/>
      <c r="DPP15" s="518"/>
      <c r="DPQ15" s="518"/>
      <c r="DPR15" s="518"/>
      <c r="DPS15" s="518"/>
      <c r="DPT15" s="518"/>
      <c r="DPU15" s="518"/>
      <c r="DPV15" s="518"/>
      <c r="DPW15" s="518"/>
      <c r="DPX15" s="518"/>
      <c r="DPY15" s="518"/>
      <c r="DPZ15" s="518"/>
      <c r="DQA15" s="518"/>
      <c r="DQB15" s="518"/>
      <c r="DQC15" s="518"/>
      <c r="DQD15" s="518"/>
      <c r="DQE15" s="518"/>
      <c r="DQF15" s="518"/>
      <c r="DQG15" s="518"/>
      <c r="DQH15" s="518"/>
      <c r="DQI15" s="518"/>
      <c r="DQJ15" s="518"/>
      <c r="DQK15" s="518"/>
      <c r="DQL15" s="518"/>
      <c r="DQM15" s="518"/>
      <c r="DQN15" s="518"/>
      <c r="DQO15" s="518"/>
      <c r="DQP15" s="518"/>
      <c r="DQQ15" s="518"/>
      <c r="DQR15" s="518"/>
      <c r="DQS15" s="518"/>
      <c r="DQT15" s="518"/>
      <c r="DQU15" s="518"/>
      <c r="DQV15" s="518"/>
      <c r="DQW15" s="518"/>
      <c r="DQX15" s="518"/>
      <c r="DQY15" s="518"/>
      <c r="DQZ15" s="518"/>
      <c r="DRA15" s="518"/>
      <c r="DRB15" s="518"/>
      <c r="DRC15" s="518"/>
      <c r="DRD15" s="518"/>
      <c r="DRE15" s="518"/>
      <c r="DRF15" s="518"/>
      <c r="DRG15" s="518"/>
      <c r="DRH15" s="518"/>
      <c r="DRI15" s="518"/>
      <c r="DRJ15" s="518"/>
      <c r="DRK15" s="518"/>
      <c r="DRL15" s="518"/>
      <c r="DRM15" s="518"/>
      <c r="DRN15" s="518"/>
      <c r="DRO15" s="518"/>
      <c r="DRP15" s="518"/>
      <c r="DRQ15" s="518"/>
      <c r="DRR15" s="518"/>
      <c r="DRS15" s="518"/>
      <c r="DRT15" s="518"/>
      <c r="DRU15" s="518"/>
      <c r="DRV15" s="518"/>
      <c r="DRW15" s="518"/>
      <c r="DRX15" s="518"/>
      <c r="DRY15" s="518"/>
      <c r="DRZ15" s="518"/>
      <c r="DSA15" s="518"/>
      <c r="DSB15" s="518"/>
      <c r="DSC15" s="518"/>
      <c r="DSD15" s="518"/>
      <c r="DSE15" s="518"/>
      <c r="DSF15" s="518"/>
      <c r="DSG15" s="518"/>
      <c r="DSH15" s="518"/>
      <c r="DSI15" s="518"/>
      <c r="DSJ15" s="518"/>
      <c r="DSK15" s="518"/>
      <c r="DSL15" s="518"/>
      <c r="DSM15" s="518"/>
      <c r="DSN15" s="518"/>
      <c r="DSO15" s="518"/>
      <c r="DSP15" s="518"/>
      <c r="DSQ15" s="518"/>
      <c r="DSR15" s="518"/>
      <c r="DSS15" s="518"/>
      <c r="DST15" s="518"/>
      <c r="DSU15" s="518"/>
      <c r="DSV15" s="518"/>
      <c r="DSW15" s="518"/>
      <c r="DSX15" s="518"/>
      <c r="DSY15" s="518"/>
      <c r="DSZ15" s="518"/>
      <c r="DTA15" s="518"/>
      <c r="DTB15" s="518"/>
      <c r="DTC15" s="518"/>
      <c r="DTD15" s="518"/>
      <c r="DTE15" s="518"/>
      <c r="DTF15" s="518"/>
      <c r="DTG15" s="518"/>
      <c r="DTH15" s="518"/>
      <c r="DTI15" s="518"/>
      <c r="DTJ15" s="518"/>
      <c r="DTK15" s="518"/>
      <c r="DTL15" s="518"/>
      <c r="DTM15" s="518"/>
      <c r="DTN15" s="518"/>
      <c r="DTO15" s="518"/>
      <c r="DTP15" s="518"/>
      <c r="DTQ15" s="518"/>
      <c r="DTR15" s="518"/>
      <c r="DTS15" s="518"/>
      <c r="DTT15" s="518"/>
      <c r="DTU15" s="518"/>
      <c r="DTV15" s="518"/>
      <c r="DTW15" s="518"/>
      <c r="DTX15" s="518"/>
      <c r="DTY15" s="518"/>
      <c r="DTZ15" s="518"/>
      <c r="DUA15" s="518"/>
      <c r="DUB15" s="518"/>
      <c r="DUC15" s="518"/>
      <c r="DUD15" s="518"/>
      <c r="DUE15" s="518"/>
      <c r="DUF15" s="518"/>
      <c r="DUG15" s="518"/>
      <c r="DUH15" s="518"/>
      <c r="DUI15" s="518"/>
      <c r="DUJ15" s="518"/>
      <c r="DUK15" s="518"/>
      <c r="DUL15" s="518"/>
      <c r="DUM15" s="518"/>
      <c r="DUN15" s="518"/>
      <c r="DUO15" s="518"/>
      <c r="DUP15" s="518"/>
      <c r="DUQ15" s="518"/>
      <c r="DUR15" s="518"/>
      <c r="DUS15" s="518"/>
      <c r="DUT15" s="518"/>
      <c r="DUU15" s="518"/>
      <c r="DUV15" s="518"/>
      <c r="DUW15" s="518"/>
      <c r="DUX15" s="518"/>
      <c r="DUY15" s="518"/>
      <c r="DUZ15" s="518"/>
      <c r="DVA15" s="518"/>
      <c r="DVB15" s="518"/>
      <c r="DVC15" s="518"/>
      <c r="DVD15" s="518"/>
      <c r="DVE15" s="518"/>
      <c r="DVF15" s="518"/>
      <c r="DVG15" s="518"/>
      <c r="DVH15" s="518"/>
      <c r="DVI15" s="518"/>
      <c r="DVJ15" s="518"/>
      <c r="DVK15" s="518"/>
      <c r="DVL15" s="518"/>
      <c r="DVM15" s="518"/>
      <c r="DVN15" s="518"/>
      <c r="DVO15" s="518"/>
      <c r="DVP15" s="518"/>
      <c r="DVQ15" s="518"/>
      <c r="DVR15" s="518"/>
      <c r="DVS15" s="518"/>
      <c r="DVT15" s="518"/>
      <c r="DVU15" s="518"/>
      <c r="DVV15" s="518"/>
      <c r="DVW15" s="518"/>
      <c r="DVX15" s="518"/>
      <c r="DVY15" s="518"/>
      <c r="DVZ15" s="518"/>
      <c r="DWA15" s="518"/>
      <c r="DWB15" s="518"/>
      <c r="DWC15" s="518"/>
      <c r="DWD15" s="518"/>
      <c r="DWE15" s="518"/>
      <c r="DWF15" s="518"/>
      <c r="DWG15" s="518"/>
      <c r="DWH15" s="518"/>
      <c r="DWI15" s="518"/>
      <c r="DWJ15" s="518"/>
      <c r="DWK15" s="518"/>
      <c r="DWL15" s="518"/>
      <c r="DWM15" s="518"/>
      <c r="DWN15" s="518"/>
      <c r="DWO15" s="518"/>
      <c r="DWP15" s="518"/>
      <c r="DWQ15" s="518"/>
      <c r="DWR15" s="518"/>
      <c r="DWS15" s="518"/>
      <c r="DWT15" s="518"/>
      <c r="DWU15" s="518"/>
      <c r="DWV15" s="518"/>
      <c r="DWW15" s="518"/>
      <c r="DWX15" s="518"/>
      <c r="DWY15" s="518"/>
      <c r="DWZ15" s="518"/>
      <c r="DXA15" s="518"/>
      <c r="DXB15" s="518"/>
      <c r="DXC15" s="518"/>
      <c r="DXD15" s="518"/>
      <c r="DXE15" s="518"/>
      <c r="DXF15" s="518"/>
      <c r="DXG15" s="518"/>
      <c r="DXH15" s="518"/>
      <c r="DXI15" s="518"/>
      <c r="DXJ15" s="518"/>
      <c r="DXK15" s="518"/>
      <c r="DXL15" s="518"/>
      <c r="DXM15" s="518"/>
      <c r="DXN15" s="518"/>
      <c r="DXO15" s="518"/>
      <c r="DXP15" s="518"/>
      <c r="DXQ15" s="518"/>
      <c r="DXR15" s="518"/>
      <c r="DXS15" s="518"/>
      <c r="DXT15" s="518"/>
      <c r="DXU15" s="518"/>
      <c r="DXV15" s="518"/>
      <c r="DXW15" s="518"/>
      <c r="DXX15" s="518"/>
      <c r="DXY15" s="518"/>
      <c r="DXZ15" s="518"/>
      <c r="DYA15" s="518"/>
      <c r="DYB15" s="518"/>
      <c r="DYC15" s="518"/>
      <c r="DYD15" s="518"/>
      <c r="DYE15" s="518"/>
      <c r="DYF15" s="518"/>
      <c r="DYG15" s="518"/>
      <c r="DYH15" s="518"/>
      <c r="DYI15" s="518"/>
      <c r="DYJ15" s="518"/>
      <c r="DYK15" s="518"/>
      <c r="DYL15" s="518"/>
      <c r="DYM15" s="518"/>
      <c r="DYN15" s="518"/>
      <c r="DYO15" s="518"/>
      <c r="DYP15" s="518"/>
      <c r="DYQ15" s="518"/>
      <c r="DYR15" s="518"/>
      <c r="DYS15" s="518"/>
      <c r="DYT15" s="518"/>
      <c r="DYU15" s="518"/>
      <c r="DYV15" s="518"/>
      <c r="DYW15" s="518"/>
      <c r="DYX15" s="518"/>
      <c r="DYY15" s="518"/>
      <c r="DYZ15" s="518"/>
      <c r="DZA15" s="518"/>
      <c r="DZB15" s="518"/>
      <c r="DZC15" s="518"/>
      <c r="DZD15" s="518"/>
      <c r="DZE15" s="518"/>
      <c r="DZF15" s="518"/>
      <c r="DZG15" s="518"/>
      <c r="DZH15" s="518"/>
      <c r="DZI15" s="518"/>
      <c r="DZJ15" s="518"/>
      <c r="DZK15" s="518"/>
      <c r="DZL15" s="518"/>
      <c r="DZM15" s="518"/>
      <c r="DZN15" s="518"/>
      <c r="DZO15" s="518"/>
      <c r="DZP15" s="518"/>
      <c r="DZQ15" s="518"/>
      <c r="DZR15" s="518"/>
      <c r="DZS15" s="518"/>
      <c r="DZT15" s="518"/>
      <c r="DZU15" s="518"/>
      <c r="DZV15" s="518"/>
      <c r="DZW15" s="518"/>
      <c r="DZX15" s="518"/>
      <c r="DZY15" s="518"/>
      <c r="DZZ15" s="518"/>
      <c r="EAA15" s="518"/>
      <c r="EAB15" s="518"/>
      <c r="EAC15" s="518"/>
      <c r="EAD15" s="518"/>
      <c r="EAE15" s="518"/>
      <c r="EAF15" s="518"/>
      <c r="EAG15" s="518"/>
      <c r="EAH15" s="518"/>
      <c r="EAI15" s="518"/>
      <c r="EAJ15" s="518"/>
      <c r="EAK15" s="518"/>
      <c r="EAL15" s="518"/>
      <c r="EAM15" s="518"/>
      <c r="EAN15" s="518"/>
      <c r="EAO15" s="518"/>
      <c r="EAP15" s="518"/>
      <c r="EAQ15" s="518"/>
      <c r="EAR15" s="518"/>
      <c r="EAS15" s="518"/>
      <c r="EAT15" s="518"/>
      <c r="EAU15" s="518"/>
      <c r="EAV15" s="518"/>
      <c r="EAW15" s="518"/>
      <c r="EAX15" s="518"/>
      <c r="EAY15" s="518"/>
      <c r="EAZ15" s="518"/>
      <c r="EBA15" s="518"/>
      <c r="EBB15" s="518"/>
      <c r="EBC15" s="518"/>
      <c r="EBD15" s="518"/>
      <c r="EBE15" s="518"/>
      <c r="EBF15" s="518"/>
      <c r="EBG15" s="518"/>
      <c r="EBH15" s="518"/>
      <c r="EBI15" s="518"/>
      <c r="EBJ15" s="518"/>
      <c r="EBK15" s="518"/>
      <c r="EBL15" s="518"/>
      <c r="EBM15" s="518"/>
      <c r="EBN15" s="518"/>
      <c r="EBO15" s="518"/>
      <c r="EBP15" s="518"/>
      <c r="EBQ15" s="518"/>
      <c r="EBR15" s="518"/>
      <c r="EBS15" s="518"/>
      <c r="EBT15" s="518"/>
      <c r="EBU15" s="518"/>
      <c r="EBV15" s="518"/>
      <c r="EBW15" s="518"/>
      <c r="EBX15" s="518"/>
      <c r="EBY15" s="518"/>
      <c r="EBZ15" s="518"/>
      <c r="ECA15" s="518"/>
      <c r="ECB15" s="518"/>
      <c r="ECC15" s="518"/>
      <c r="ECD15" s="518"/>
      <c r="ECE15" s="518"/>
      <c r="ECF15" s="518"/>
      <c r="ECG15" s="518"/>
      <c r="ECH15" s="518"/>
      <c r="ECI15" s="518"/>
      <c r="ECJ15" s="518"/>
      <c r="ECK15" s="518"/>
      <c r="ECL15" s="518"/>
      <c r="ECM15" s="518"/>
      <c r="ECN15" s="518"/>
      <c r="ECO15" s="518"/>
      <c r="ECP15" s="518"/>
      <c r="ECQ15" s="518"/>
      <c r="ECR15" s="518"/>
      <c r="ECS15" s="518"/>
      <c r="ECT15" s="518"/>
      <c r="ECU15" s="518"/>
      <c r="ECV15" s="518"/>
      <c r="ECW15" s="518"/>
      <c r="ECX15" s="518"/>
      <c r="ECY15" s="518"/>
      <c r="ECZ15" s="518"/>
      <c r="EDA15" s="518"/>
      <c r="EDB15" s="518"/>
      <c r="EDC15" s="518"/>
      <c r="EDD15" s="518"/>
      <c r="EDE15" s="518"/>
      <c r="EDF15" s="518"/>
      <c r="EDG15" s="518"/>
      <c r="EDH15" s="518"/>
      <c r="EDI15" s="518"/>
      <c r="EDJ15" s="518"/>
      <c r="EDK15" s="518"/>
      <c r="EDL15" s="518"/>
      <c r="EDM15" s="518"/>
      <c r="EDN15" s="518"/>
      <c r="EDO15" s="518"/>
      <c r="EDP15" s="518"/>
      <c r="EDQ15" s="518"/>
      <c r="EDR15" s="518"/>
      <c r="EDS15" s="518"/>
      <c r="EDT15" s="518"/>
      <c r="EDU15" s="518"/>
      <c r="EDV15" s="518"/>
      <c r="EDW15" s="518"/>
      <c r="EDX15" s="518"/>
      <c r="EDY15" s="518"/>
      <c r="EDZ15" s="518"/>
      <c r="EEA15" s="518"/>
      <c r="EEB15" s="518"/>
      <c r="EEC15" s="518"/>
      <c r="EED15" s="518"/>
      <c r="EEE15" s="518"/>
      <c r="EEF15" s="518"/>
      <c r="EEG15" s="518"/>
      <c r="EEH15" s="518"/>
      <c r="EEI15" s="518"/>
      <c r="EEJ15" s="518"/>
      <c r="EEK15" s="518"/>
      <c r="EEL15" s="518"/>
      <c r="EEM15" s="518"/>
      <c r="EEN15" s="518"/>
      <c r="EEO15" s="518"/>
      <c r="EEP15" s="518"/>
      <c r="EEQ15" s="518"/>
      <c r="EER15" s="518"/>
      <c r="EES15" s="518"/>
      <c r="EET15" s="518"/>
      <c r="EEU15" s="518"/>
      <c r="EEV15" s="518"/>
      <c r="EEW15" s="518"/>
      <c r="EEX15" s="518"/>
      <c r="EEY15" s="518"/>
      <c r="EEZ15" s="518"/>
      <c r="EFA15" s="518"/>
      <c r="EFB15" s="518"/>
      <c r="EFC15" s="518"/>
      <c r="EFD15" s="518"/>
      <c r="EFE15" s="518"/>
      <c r="EFF15" s="518"/>
      <c r="EFG15" s="518"/>
      <c r="EFH15" s="518"/>
      <c r="EFI15" s="518"/>
      <c r="EFJ15" s="518"/>
      <c r="EFK15" s="518"/>
      <c r="EFL15" s="518"/>
      <c r="EFM15" s="518"/>
      <c r="EFN15" s="518"/>
      <c r="EFO15" s="518"/>
      <c r="EFP15" s="518"/>
      <c r="EFQ15" s="518"/>
      <c r="EFR15" s="518"/>
      <c r="EFS15" s="518"/>
      <c r="EFT15" s="518"/>
      <c r="EFU15" s="518"/>
      <c r="EFV15" s="518"/>
      <c r="EFW15" s="518"/>
      <c r="EFX15" s="518"/>
      <c r="EFY15" s="518"/>
      <c r="EFZ15" s="518"/>
      <c r="EGA15" s="518"/>
      <c r="EGB15" s="518"/>
      <c r="EGC15" s="518"/>
      <c r="EGD15" s="518"/>
      <c r="EGE15" s="518"/>
      <c r="EGF15" s="518"/>
      <c r="EGG15" s="518"/>
      <c r="EGH15" s="518"/>
      <c r="EGI15" s="518"/>
      <c r="EGJ15" s="518"/>
      <c r="EGK15" s="518"/>
      <c r="EGL15" s="518"/>
      <c r="EGM15" s="518"/>
      <c r="EGN15" s="518"/>
      <c r="EGO15" s="518"/>
      <c r="EGP15" s="518"/>
      <c r="EGQ15" s="518"/>
      <c r="EGR15" s="518"/>
      <c r="EGS15" s="518"/>
      <c r="EGT15" s="518"/>
      <c r="EGU15" s="518"/>
      <c r="EGV15" s="518"/>
      <c r="EGW15" s="518"/>
      <c r="EGX15" s="518"/>
      <c r="EGY15" s="518"/>
      <c r="EGZ15" s="518"/>
      <c r="EHA15" s="518"/>
      <c r="EHB15" s="518"/>
      <c r="EHC15" s="518"/>
      <c r="EHD15" s="518"/>
      <c r="EHE15" s="518"/>
      <c r="EHF15" s="518"/>
      <c r="EHG15" s="518"/>
      <c r="EHH15" s="518"/>
      <c r="EHI15" s="518"/>
      <c r="EHJ15" s="518"/>
      <c r="EHK15" s="518"/>
      <c r="EHL15" s="518"/>
      <c r="EHM15" s="518"/>
      <c r="EHN15" s="518"/>
      <c r="EHO15" s="518"/>
      <c r="EHP15" s="518"/>
      <c r="EHQ15" s="518"/>
      <c r="EHR15" s="518"/>
      <c r="EHS15" s="518"/>
      <c r="EHT15" s="518"/>
      <c r="EHU15" s="518"/>
      <c r="EHV15" s="518"/>
      <c r="EHW15" s="518"/>
      <c r="EHX15" s="518"/>
      <c r="EHY15" s="518"/>
      <c r="EHZ15" s="518"/>
      <c r="EIA15" s="518"/>
      <c r="EIB15" s="518"/>
      <c r="EIC15" s="518"/>
      <c r="EID15" s="518"/>
      <c r="EIE15" s="518"/>
      <c r="EIF15" s="518"/>
      <c r="EIG15" s="518"/>
      <c r="EIH15" s="518"/>
      <c r="EII15" s="518"/>
      <c r="EIJ15" s="518"/>
      <c r="EIK15" s="518"/>
      <c r="EIL15" s="518"/>
      <c r="EIM15" s="518"/>
      <c r="EIN15" s="518"/>
      <c r="EIO15" s="518"/>
      <c r="EIP15" s="518"/>
      <c r="EIQ15" s="518"/>
      <c r="EIR15" s="518"/>
      <c r="EIS15" s="518"/>
      <c r="EIT15" s="518"/>
      <c r="EIU15" s="518"/>
      <c r="EIV15" s="518"/>
      <c r="EIW15" s="518"/>
      <c r="EIX15" s="518"/>
      <c r="EIY15" s="518"/>
      <c r="EIZ15" s="518"/>
      <c r="EJA15" s="518"/>
      <c r="EJB15" s="518"/>
      <c r="EJC15" s="518"/>
      <c r="EJD15" s="518"/>
      <c r="EJE15" s="518"/>
      <c r="EJF15" s="518"/>
      <c r="EJG15" s="518"/>
      <c r="EJH15" s="518"/>
      <c r="EJI15" s="518"/>
      <c r="EJJ15" s="518"/>
      <c r="EJK15" s="518"/>
      <c r="EJL15" s="518"/>
      <c r="EJM15" s="518"/>
      <c r="EJN15" s="518"/>
      <c r="EJO15" s="518"/>
      <c r="EJP15" s="518"/>
      <c r="EJQ15" s="518"/>
      <c r="EJR15" s="518"/>
      <c r="EJS15" s="518"/>
      <c r="EJT15" s="518"/>
      <c r="EJU15" s="518"/>
      <c r="EJV15" s="518"/>
      <c r="EJW15" s="518"/>
      <c r="EJX15" s="518"/>
      <c r="EJY15" s="518"/>
      <c r="EJZ15" s="518"/>
      <c r="EKA15" s="518"/>
      <c r="EKB15" s="518"/>
      <c r="EKC15" s="518"/>
      <c r="EKD15" s="518"/>
      <c r="EKE15" s="518"/>
      <c r="EKF15" s="518"/>
      <c r="EKG15" s="518"/>
      <c r="EKH15" s="518"/>
      <c r="EKI15" s="518"/>
      <c r="EKJ15" s="518"/>
      <c r="EKK15" s="518"/>
      <c r="EKL15" s="518"/>
      <c r="EKM15" s="518"/>
      <c r="EKN15" s="518"/>
      <c r="EKO15" s="518"/>
      <c r="EKP15" s="518"/>
      <c r="EKQ15" s="518"/>
      <c r="EKR15" s="518"/>
      <c r="EKS15" s="518"/>
      <c r="EKT15" s="518"/>
      <c r="EKU15" s="518"/>
      <c r="EKV15" s="518"/>
      <c r="EKW15" s="518"/>
      <c r="EKX15" s="518"/>
      <c r="EKY15" s="518"/>
      <c r="EKZ15" s="518"/>
      <c r="ELA15" s="518"/>
      <c r="ELB15" s="518"/>
      <c r="ELC15" s="518"/>
      <c r="ELD15" s="518"/>
      <c r="ELE15" s="518"/>
      <c r="ELF15" s="518"/>
      <c r="ELG15" s="518"/>
      <c r="ELH15" s="518"/>
      <c r="ELI15" s="518"/>
      <c r="ELJ15" s="518"/>
      <c r="ELK15" s="518"/>
      <c r="ELL15" s="518"/>
      <c r="ELM15" s="518"/>
      <c r="ELN15" s="518"/>
      <c r="ELO15" s="518"/>
      <c r="ELP15" s="518"/>
      <c r="ELQ15" s="518"/>
      <c r="ELR15" s="518"/>
      <c r="ELS15" s="518"/>
      <c r="ELT15" s="518"/>
      <c r="ELU15" s="518"/>
      <c r="ELV15" s="518"/>
      <c r="ELW15" s="518"/>
      <c r="ELX15" s="518"/>
      <c r="ELY15" s="518"/>
      <c r="ELZ15" s="518"/>
      <c r="EMA15" s="518"/>
      <c r="EMB15" s="518"/>
      <c r="EMC15" s="518"/>
      <c r="EMD15" s="518"/>
      <c r="EME15" s="518"/>
      <c r="EMF15" s="518"/>
      <c r="EMG15" s="518"/>
      <c r="EMH15" s="518"/>
      <c r="EMI15" s="518"/>
      <c r="EMJ15" s="518"/>
      <c r="EMK15" s="518"/>
      <c r="EML15" s="518"/>
      <c r="EMM15" s="518"/>
      <c r="EMN15" s="518"/>
      <c r="EMO15" s="518"/>
      <c r="EMP15" s="518"/>
      <c r="EMQ15" s="518"/>
      <c r="EMR15" s="518"/>
      <c r="EMS15" s="518"/>
      <c r="EMT15" s="518"/>
      <c r="EMU15" s="518"/>
      <c r="EMV15" s="518"/>
      <c r="EMW15" s="518"/>
      <c r="EMX15" s="518"/>
      <c r="EMY15" s="518"/>
      <c r="EMZ15" s="518"/>
      <c r="ENA15" s="518"/>
      <c r="ENB15" s="518"/>
      <c r="ENC15" s="518"/>
      <c r="END15" s="518"/>
      <c r="ENE15" s="518"/>
      <c r="ENF15" s="518"/>
      <c r="ENG15" s="518"/>
      <c r="ENH15" s="518"/>
      <c r="ENI15" s="518"/>
      <c r="ENJ15" s="518"/>
      <c r="ENK15" s="518"/>
      <c r="ENL15" s="518"/>
      <c r="ENM15" s="518"/>
      <c r="ENN15" s="518"/>
      <c r="ENO15" s="518"/>
      <c r="ENP15" s="518"/>
      <c r="ENQ15" s="518"/>
      <c r="ENR15" s="518"/>
      <c r="ENS15" s="518"/>
      <c r="ENT15" s="518"/>
      <c r="ENU15" s="518"/>
      <c r="ENV15" s="518"/>
      <c r="ENW15" s="518"/>
      <c r="ENX15" s="518"/>
      <c r="ENY15" s="518"/>
      <c r="ENZ15" s="518"/>
      <c r="EOA15" s="518"/>
      <c r="EOB15" s="518"/>
      <c r="EOC15" s="518"/>
      <c r="EOD15" s="518"/>
      <c r="EOE15" s="518"/>
      <c r="EOF15" s="518"/>
      <c r="EOG15" s="518"/>
      <c r="EOH15" s="518"/>
      <c r="EOI15" s="518"/>
      <c r="EOJ15" s="518"/>
      <c r="EOK15" s="518"/>
      <c r="EOL15" s="518"/>
      <c r="EOM15" s="518"/>
      <c r="EON15" s="518"/>
      <c r="EOO15" s="518"/>
      <c r="EOP15" s="518"/>
      <c r="EOQ15" s="518"/>
      <c r="EOR15" s="518"/>
      <c r="EOS15" s="518"/>
      <c r="EOT15" s="518"/>
      <c r="EOU15" s="518"/>
      <c r="EOV15" s="518"/>
      <c r="EOW15" s="518"/>
      <c r="EOX15" s="518"/>
      <c r="EOY15" s="518"/>
      <c r="EOZ15" s="518"/>
      <c r="EPA15" s="518"/>
      <c r="EPB15" s="518"/>
      <c r="EPC15" s="518"/>
      <c r="EPD15" s="518"/>
      <c r="EPE15" s="518"/>
      <c r="EPF15" s="518"/>
      <c r="EPG15" s="518"/>
      <c r="EPH15" s="518"/>
      <c r="EPI15" s="518"/>
      <c r="EPJ15" s="518"/>
      <c r="EPK15" s="518"/>
      <c r="EPL15" s="518"/>
      <c r="EPM15" s="518"/>
      <c r="EPN15" s="518"/>
      <c r="EPO15" s="518"/>
      <c r="EPP15" s="518"/>
      <c r="EPQ15" s="518"/>
      <c r="EPR15" s="518"/>
      <c r="EPS15" s="518"/>
      <c r="EPT15" s="518"/>
      <c r="EPU15" s="518"/>
      <c r="EPV15" s="518"/>
      <c r="EPW15" s="518"/>
      <c r="EPX15" s="518"/>
      <c r="EPY15" s="518"/>
      <c r="EPZ15" s="518"/>
      <c r="EQA15" s="518"/>
      <c r="EQB15" s="518"/>
      <c r="EQC15" s="518"/>
      <c r="EQD15" s="518"/>
      <c r="EQE15" s="518"/>
      <c r="EQF15" s="518"/>
      <c r="EQG15" s="518"/>
      <c r="EQH15" s="518"/>
      <c r="EQI15" s="518"/>
      <c r="EQJ15" s="518"/>
      <c r="EQK15" s="518"/>
      <c r="EQL15" s="518"/>
      <c r="EQM15" s="518"/>
      <c r="EQN15" s="518"/>
      <c r="EQO15" s="518"/>
      <c r="EQP15" s="518"/>
      <c r="EQQ15" s="518"/>
      <c r="EQR15" s="518"/>
      <c r="EQS15" s="518"/>
      <c r="EQT15" s="518"/>
      <c r="EQU15" s="518"/>
      <c r="EQV15" s="518"/>
      <c r="EQW15" s="518"/>
      <c r="EQX15" s="518"/>
      <c r="EQY15" s="518"/>
      <c r="EQZ15" s="518"/>
      <c r="ERA15" s="518"/>
      <c r="ERB15" s="518"/>
      <c r="ERC15" s="518"/>
      <c r="ERD15" s="518"/>
      <c r="ERE15" s="518"/>
      <c r="ERF15" s="518"/>
      <c r="ERG15" s="518"/>
      <c r="ERH15" s="518"/>
      <c r="ERI15" s="518"/>
      <c r="ERJ15" s="518"/>
      <c r="ERK15" s="518"/>
      <c r="ERL15" s="518"/>
      <c r="ERM15" s="518"/>
      <c r="ERN15" s="518"/>
      <c r="ERO15" s="518"/>
      <c r="ERP15" s="518"/>
      <c r="ERQ15" s="518"/>
      <c r="ERR15" s="518"/>
      <c r="ERS15" s="518"/>
      <c r="ERT15" s="518"/>
      <c r="ERU15" s="518"/>
      <c r="ERV15" s="518"/>
      <c r="ERW15" s="518"/>
      <c r="ERX15" s="518"/>
      <c r="ERY15" s="518"/>
      <c r="ERZ15" s="518"/>
      <c r="ESA15" s="518"/>
      <c r="ESB15" s="518"/>
      <c r="ESC15" s="518"/>
      <c r="ESD15" s="518"/>
      <c r="ESE15" s="518"/>
      <c r="ESF15" s="518"/>
      <c r="ESG15" s="518"/>
      <c r="ESH15" s="518"/>
      <c r="ESI15" s="518"/>
      <c r="ESJ15" s="518"/>
      <c r="ESK15" s="518"/>
      <c r="ESL15" s="518"/>
      <c r="ESM15" s="518"/>
      <c r="ESN15" s="518"/>
      <c r="ESO15" s="518"/>
      <c r="ESP15" s="518"/>
      <c r="ESQ15" s="518"/>
      <c r="ESR15" s="518"/>
      <c r="ESS15" s="518"/>
      <c r="EST15" s="518"/>
      <c r="ESU15" s="518"/>
      <c r="ESV15" s="518"/>
      <c r="ESW15" s="518"/>
      <c r="ESX15" s="518"/>
      <c r="ESY15" s="518"/>
      <c r="ESZ15" s="518"/>
      <c r="ETA15" s="518"/>
      <c r="ETB15" s="518"/>
      <c r="ETC15" s="518"/>
      <c r="ETD15" s="518"/>
      <c r="ETE15" s="518"/>
      <c r="ETF15" s="518"/>
      <c r="ETG15" s="518"/>
      <c r="ETH15" s="518"/>
      <c r="ETI15" s="518"/>
      <c r="ETJ15" s="518"/>
      <c r="ETK15" s="518"/>
      <c r="ETL15" s="518"/>
      <c r="ETM15" s="518"/>
      <c r="ETN15" s="518"/>
      <c r="ETO15" s="518"/>
      <c r="ETP15" s="518"/>
      <c r="ETQ15" s="518"/>
      <c r="ETR15" s="518"/>
      <c r="ETS15" s="518"/>
      <c r="ETT15" s="518"/>
      <c r="ETU15" s="518"/>
      <c r="ETV15" s="518"/>
      <c r="ETW15" s="518"/>
      <c r="ETX15" s="518"/>
      <c r="ETY15" s="518"/>
      <c r="ETZ15" s="518"/>
      <c r="EUA15" s="518"/>
      <c r="EUB15" s="518"/>
      <c r="EUC15" s="518"/>
      <c r="EUD15" s="518"/>
      <c r="EUE15" s="518"/>
      <c r="EUF15" s="518"/>
      <c r="EUG15" s="518"/>
      <c r="EUH15" s="518"/>
      <c r="EUI15" s="518"/>
      <c r="EUJ15" s="518"/>
      <c r="EUK15" s="518"/>
      <c r="EUL15" s="518"/>
      <c r="EUM15" s="518"/>
      <c r="EUN15" s="518"/>
      <c r="EUO15" s="518"/>
      <c r="EUP15" s="518"/>
      <c r="EUQ15" s="518"/>
      <c r="EUR15" s="518"/>
      <c r="EUS15" s="518"/>
      <c r="EUT15" s="518"/>
      <c r="EUU15" s="518"/>
      <c r="EUV15" s="518"/>
      <c r="EUW15" s="518"/>
      <c r="EUX15" s="518"/>
      <c r="EUY15" s="518"/>
      <c r="EUZ15" s="518"/>
      <c r="EVA15" s="518"/>
      <c r="EVB15" s="518"/>
      <c r="EVC15" s="518"/>
      <c r="EVD15" s="518"/>
      <c r="EVE15" s="518"/>
      <c r="EVF15" s="518"/>
      <c r="EVG15" s="518"/>
      <c r="EVH15" s="518"/>
      <c r="EVI15" s="518"/>
      <c r="EVJ15" s="518"/>
      <c r="EVK15" s="518"/>
      <c r="EVL15" s="518"/>
      <c r="EVM15" s="518"/>
      <c r="EVN15" s="518"/>
      <c r="EVO15" s="518"/>
      <c r="EVP15" s="518"/>
      <c r="EVQ15" s="518"/>
      <c r="EVR15" s="518"/>
      <c r="EVS15" s="518"/>
      <c r="EVT15" s="518"/>
      <c r="EVU15" s="518"/>
      <c r="EVV15" s="518"/>
      <c r="EVW15" s="518"/>
      <c r="EVX15" s="518"/>
      <c r="EVY15" s="518"/>
      <c r="EVZ15" s="518"/>
      <c r="EWA15" s="518"/>
      <c r="EWB15" s="518"/>
      <c r="EWC15" s="518"/>
      <c r="EWD15" s="518"/>
      <c r="EWE15" s="518"/>
      <c r="EWF15" s="518"/>
      <c r="EWG15" s="518"/>
      <c r="EWH15" s="518"/>
      <c r="EWI15" s="518"/>
      <c r="EWJ15" s="518"/>
      <c r="EWK15" s="518"/>
      <c r="EWL15" s="518"/>
      <c r="EWM15" s="518"/>
      <c r="EWN15" s="518"/>
      <c r="EWO15" s="518"/>
      <c r="EWP15" s="518"/>
      <c r="EWQ15" s="518"/>
      <c r="EWR15" s="518"/>
      <c r="EWS15" s="518"/>
      <c r="EWT15" s="518"/>
      <c r="EWU15" s="518"/>
      <c r="EWV15" s="518"/>
      <c r="EWW15" s="518"/>
      <c r="EWX15" s="518"/>
      <c r="EWY15" s="518"/>
      <c r="EWZ15" s="518"/>
      <c r="EXA15" s="518"/>
      <c r="EXB15" s="518"/>
      <c r="EXC15" s="518"/>
      <c r="EXD15" s="518"/>
      <c r="EXE15" s="518"/>
      <c r="EXF15" s="518"/>
      <c r="EXG15" s="518"/>
      <c r="EXH15" s="518"/>
      <c r="EXI15" s="518"/>
      <c r="EXJ15" s="518"/>
      <c r="EXK15" s="518"/>
      <c r="EXL15" s="518"/>
      <c r="EXM15" s="518"/>
      <c r="EXN15" s="518"/>
      <c r="EXO15" s="518"/>
      <c r="EXP15" s="518"/>
      <c r="EXQ15" s="518"/>
      <c r="EXR15" s="518"/>
      <c r="EXS15" s="518"/>
      <c r="EXT15" s="518"/>
      <c r="EXU15" s="518"/>
      <c r="EXV15" s="518"/>
      <c r="EXW15" s="518"/>
      <c r="EXX15" s="518"/>
      <c r="EXY15" s="518"/>
      <c r="EXZ15" s="518"/>
      <c r="EYA15" s="518"/>
      <c r="EYB15" s="518"/>
      <c r="EYC15" s="518"/>
      <c r="EYD15" s="518"/>
      <c r="EYE15" s="518"/>
      <c r="EYF15" s="518"/>
      <c r="EYG15" s="518"/>
      <c r="EYH15" s="518"/>
      <c r="EYI15" s="518"/>
      <c r="EYJ15" s="518"/>
      <c r="EYK15" s="518"/>
      <c r="EYL15" s="518"/>
      <c r="EYM15" s="518"/>
      <c r="EYN15" s="518"/>
      <c r="EYO15" s="518"/>
      <c r="EYP15" s="518"/>
      <c r="EYQ15" s="518"/>
      <c r="EYR15" s="518"/>
      <c r="EYS15" s="518"/>
      <c r="EYT15" s="518"/>
      <c r="EYU15" s="518"/>
      <c r="EYV15" s="518"/>
      <c r="EYW15" s="518"/>
      <c r="EYX15" s="518"/>
      <c r="EYY15" s="518"/>
      <c r="EYZ15" s="518"/>
      <c r="EZA15" s="518"/>
      <c r="EZB15" s="518"/>
      <c r="EZC15" s="518"/>
      <c r="EZD15" s="518"/>
      <c r="EZE15" s="518"/>
      <c r="EZF15" s="518"/>
      <c r="EZG15" s="518"/>
      <c r="EZH15" s="518"/>
      <c r="EZI15" s="518"/>
      <c r="EZJ15" s="518"/>
      <c r="EZK15" s="518"/>
      <c r="EZL15" s="518"/>
      <c r="EZM15" s="518"/>
      <c r="EZN15" s="518"/>
      <c r="EZO15" s="518"/>
      <c r="EZP15" s="518"/>
      <c r="EZQ15" s="518"/>
      <c r="EZR15" s="518"/>
      <c r="EZS15" s="518"/>
      <c r="EZT15" s="518"/>
      <c r="EZU15" s="518"/>
      <c r="EZV15" s="518"/>
      <c r="EZW15" s="518"/>
      <c r="EZX15" s="518"/>
      <c r="EZY15" s="518"/>
      <c r="EZZ15" s="518"/>
      <c r="FAA15" s="518"/>
      <c r="FAB15" s="518"/>
      <c r="FAC15" s="518"/>
      <c r="FAD15" s="518"/>
      <c r="FAE15" s="518"/>
      <c r="FAF15" s="518"/>
      <c r="FAG15" s="518"/>
      <c r="FAH15" s="518"/>
      <c r="FAI15" s="518"/>
      <c r="FAJ15" s="518"/>
      <c r="FAK15" s="518"/>
      <c r="FAL15" s="518"/>
      <c r="FAM15" s="518"/>
      <c r="FAN15" s="518"/>
      <c r="FAO15" s="518"/>
      <c r="FAP15" s="518"/>
      <c r="FAQ15" s="518"/>
      <c r="FAR15" s="518"/>
      <c r="FAS15" s="518"/>
      <c r="FAT15" s="518"/>
      <c r="FAU15" s="518"/>
      <c r="FAV15" s="518"/>
      <c r="FAW15" s="518"/>
      <c r="FAX15" s="518"/>
      <c r="FAY15" s="518"/>
      <c r="FAZ15" s="518"/>
      <c r="FBA15" s="518"/>
      <c r="FBB15" s="518"/>
      <c r="FBC15" s="518"/>
      <c r="FBD15" s="518"/>
      <c r="FBE15" s="518"/>
      <c r="FBF15" s="518"/>
      <c r="FBG15" s="518"/>
      <c r="FBH15" s="518"/>
      <c r="FBI15" s="518"/>
      <c r="FBJ15" s="518"/>
      <c r="FBK15" s="518"/>
      <c r="FBL15" s="518"/>
      <c r="FBM15" s="518"/>
      <c r="FBN15" s="518"/>
      <c r="FBO15" s="518"/>
      <c r="FBP15" s="518"/>
      <c r="FBQ15" s="518"/>
      <c r="FBR15" s="518"/>
      <c r="FBS15" s="518"/>
      <c r="FBT15" s="518"/>
      <c r="FBU15" s="518"/>
      <c r="FBV15" s="518"/>
      <c r="FBW15" s="518"/>
      <c r="FBX15" s="518"/>
      <c r="FBY15" s="518"/>
      <c r="FBZ15" s="518"/>
      <c r="FCA15" s="518"/>
      <c r="FCB15" s="518"/>
      <c r="FCC15" s="518"/>
      <c r="FCD15" s="518"/>
      <c r="FCE15" s="518"/>
      <c r="FCF15" s="518"/>
      <c r="FCG15" s="518"/>
      <c r="FCH15" s="518"/>
      <c r="FCI15" s="518"/>
      <c r="FCJ15" s="518"/>
      <c r="FCK15" s="518"/>
      <c r="FCL15" s="518"/>
      <c r="FCM15" s="518"/>
      <c r="FCN15" s="518"/>
      <c r="FCO15" s="518"/>
      <c r="FCP15" s="518"/>
      <c r="FCQ15" s="518"/>
      <c r="FCR15" s="518"/>
      <c r="FCS15" s="518"/>
      <c r="FCT15" s="518"/>
      <c r="FCU15" s="518"/>
      <c r="FCV15" s="518"/>
      <c r="FCW15" s="518"/>
      <c r="FCX15" s="518"/>
      <c r="FCY15" s="518"/>
      <c r="FCZ15" s="518"/>
      <c r="FDA15" s="518"/>
      <c r="FDB15" s="518"/>
      <c r="FDC15" s="518"/>
      <c r="FDD15" s="518"/>
      <c r="FDE15" s="518"/>
      <c r="FDF15" s="518"/>
      <c r="FDG15" s="518"/>
      <c r="FDH15" s="518"/>
      <c r="FDI15" s="518"/>
      <c r="FDJ15" s="518"/>
      <c r="FDK15" s="518"/>
      <c r="FDL15" s="518"/>
      <c r="FDM15" s="518"/>
      <c r="FDN15" s="518"/>
      <c r="FDO15" s="518"/>
      <c r="FDP15" s="518"/>
      <c r="FDQ15" s="518"/>
      <c r="FDR15" s="518"/>
      <c r="FDS15" s="518"/>
      <c r="FDT15" s="518"/>
      <c r="FDU15" s="518"/>
      <c r="FDV15" s="518"/>
      <c r="FDW15" s="518"/>
      <c r="FDX15" s="518"/>
      <c r="FDY15" s="518"/>
      <c r="FDZ15" s="518"/>
      <c r="FEA15" s="518"/>
      <c r="FEB15" s="518"/>
      <c r="FEC15" s="518"/>
      <c r="FED15" s="518"/>
      <c r="FEE15" s="518"/>
      <c r="FEF15" s="518"/>
      <c r="FEG15" s="518"/>
      <c r="FEH15" s="518"/>
      <c r="FEI15" s="518"/>
      <c r="FEJ15" s="518"/>
      <c r="FEK15" s="518"/>
      <c r="FEL15" s="518"/>
      <c r="FEM15" s="518"/>
      <c r="FEN15" s="518"/>
      <c r="FEO15" s="518"/>
      <c r="FEP15" s="518"/>
      <c r="FEQ15" s="518"/>
      <c r="FER15" s="518"/>
      <c r="FES15" s="518"/>
      <c r="FET15" s="518"/>
      <c r="FEU15" s="518"/>
      <c r="FEV15" s="518"/>
      <c r="FEW15" s="518"/>
      <c r="FEX15" s="518"/>
      <c r="FEY15" s="518"/>
      <c r="FEZ15" s="518"/>
      <c r="FFA15" s="518"/>
      <c r="FFB15" s="518"/>
      <c r="FFC15" s="518"/>
      <c r="FFD15" s="518"/>
      <c r="FFE15" s="518"/>
      <c r="FFF15" s="518"/>
      <c r="FFG15" s="518"/>
      <c r="FFH15" s="518"/>
      <c r="FFI15" s="518"/>
      <c r="FFJ15" s="518"/>
      <c r="FFK15" s="518"/>
      <c r="FFL15" s="518"/>
      <c r="FFM15" s="518"/>
      <c r="FFN15" s="518"/>
      <c r="FFO15" s="518"/>
      <c r="FFP15" s="518"/>
      <c r="FFQ15" s="518"/>
      <c r="FFR15" s="518"/>
      <c r="FFS15" s="518"/>
      <c r="FFT15" s="518"/>
      <c r="FFU15" s="518"/>
      <c r="FFV15" s="518"/>
      <c r="FFW15" s="518"/>
      <c r="FFX15" s="518"/>
      <c r="FFY15" s="518"/>
      <c r="FFZ15" s="518"/>
      <c r="FGA15" s="518"/>
      <c r="FGB15" s="518"/>
      <c r="FGC15" s="518"/>
      <c r="FGD15" s="518"/>
      <c r="FGE15" s="518"/>
      <c r="FGF15" s="518"/>
      <c r="FGG15" s="518"/>
      <c r="FGH15" s="518"/>
      <c r="FGI15" s="518"/>
      <c r="FGJ15" s="518"/>
      <c r="FGK15" s="518"/>
      <c r="FGL15" s="518"/>
      <c r="FGM15" s="518"/>
      <c r="FGN15" s="518"/>
      <c r="FGO15" s="518"/>
      <c r="FGP15" s="518"/>
      <c r="FGQ15" s="518"/>
      <c r="FGR15" s="518"/>
      <c r="FGS15" s="518"/>
      <c r="FGT15" s="518"/>
      <c r="FGU15" s="518"/>
      <c r="FGV15" s="518"/>
      <c r="FGW15" s="518"/>
      <c r="FGX15" s="518"/>
      <c r="FGY15" s="518"/>
      <c r="FGZ15" s="518"/>
      <c r="FHA15" s="518"/>
      <c r="FHB15" s="518"/>
      <c r="FHC15" s="518"/>
      <c r="FHD15" s="518"/>
      <c r="FHE15" s="518"/>
      <c r="FHF15" s="518"/>
      <c r="FHG15" s="518"/>
      <c r="FHH15" s="518"/>
      <c r="FHI15" s="518"/>
      <c r="FHJ15" s="518"/>
      <c r="FHK15" s="518"/>
      <c r="FHL15" s="518"/>
      <c r="FHM15" s="518"/>
      <c r="FHN15" s="518"/>
      <c r="FHO15" s="518"/>
      <c r="FHP15" s="518"/>
      <c r="FHQ15" s="518"/>
      <c r="FHR15" s="518"/>
      <c r="FHS15" s="518"/>
      <c r="FHT15" s="518"/>
      <c r="FHU15" s="518"/>
      <c r="FHV15" s="518"/>
      <c r="FHW15" s="518"/>
      <c r="FHX15" s="518"/>
      <c r="FHY15" s="518"/>
      <c r="FHZ15" s="518"/>
      <c r="FIA15" s="518"/>
      <c r="FIB15" s="518"/>
      <c r="FIC15" s="518"/>
      <c r="FID15" s="518"/>
      <c r="FIE15" s="518"/>
      <c r="FIF15" s="518"/>
      <c r="FIG15" s="518"/>
      <c r="FIH15" s="518"/>
      <c r="FII15" s="518"/>
      <c r="FIJ15" s="518"/>
      <c r="FIK15" s="518"/>
      <c r="FIL15" s="518"/>
      <c r="FIM15" s="518"/>
      <c r="FIN15" s="518"/>
      <c r="FIO15" s="518"/>
      <c r="FIP15" s="518"/>
      <c r="FIQ15" s="518"/>
      <c r="FIR15" s="518"/>
      <c r="FIS15" s="518"/>
      <c r="FIT15" s="518"/>
      <c r="FIU15" s="518"/>
      <c r="FIV15" s="518"/>
      <c r="FIW15" s="518"/>
      <c r="FIX15" s="518"/>
      <c r="FIY15" s="518"/>
      <c r="FIZ15" s="518"/>
      <c r="FJA15" s="518"/>
      <c r="FJB15" s="518"/>
      <c r="FJC15" s="518"/>
      <c r="FJD15" s="518"/>
      <c r="FJE15" s="518"/>
      <c r="FJF15" s="518"/>
      <c r="FJG15" s="518"/>
      <c r="FJH15" s="518"/>
      <c r="FJI15" s="518"/>
      <c r="FJJ15" s="518"/>
      <c r="FJK15" s="518"/>
      <c r="FJL15" s="518"/>
      <c r="FJM15" s="518"/>
      <c r="FJN15" s="518"/>
      <c r="FJO15" s="518"/>
      <c r="FJP15" s="518"/>
      <c r="FJQ15" s="518"/>
      <c r="FJR15" s="518"/>
      <c r="FJS15" s="518"/>
      <c r="FJT15" s="518"/>
      <c r="FJU15" s="518"/>
      <c r="FJV15" s="518"/>
      <c r="FJW15" s="518"/>
      <c r="FJX15" s="518"/>
      <c r="FJY15" s="518"/>
      <c r="FJZ15" s="518"/>
      <c r="FKA15" s="518"/>
      <c r="FKB15" s="518"/>
      <c r="FKC15" s="518"/>
      <c r="FKD15" s="518"/>
      <c r="FKE15" s="518"/>
      <c r="FKF15" s="518"/>
      <c r="FKG15" s="518"/>
      <c r="FKH15" s="518"/>
      <c r="FKI15" s="518"/>
      <c r="FKJ15" s="518"/>
      <c r="FKK15" s="518"/>
      <c r="FKL15" s="518"/>
      <c r="FKM15" s="518"/>
      <c r="FKN15" s="518"/>
      <c r="FKO15" s="518"/>
      <c r="FKP15" s="518"/>
      <c r="FKQ15" s="518"/>
      <c r="FKR15" s="518"/>
      <c r="FKS15" s="518"/>
      <c r="FKT15" s="518"/>
      <c r="FKU15" s="518"/>
      <c r="FKV15" s="518"/>
      <c r="FKW15" s="518"/>
      <c r="FKX15" s="518"/>
      <c r="FKY15" s="518"/>
      <c r="FKZ15" s="518"/>
      <c r="FLA15" s="518"/>
      <c r="FLB15" s="518"/>
      <c r="FLC15" s="518"/>
      <c r="FLD15" s="518"/>
      <c r="FLE15" s="518"/>
      <c r="FLF15" s="518"/>
      <c r="FLG15" s="518"/>
      <c r="FLH15" s="518"/>
      <c r="FLI15" s="518"/>
      <c r="FLJ15" s="518"/>
      <c r="FLK15" s="518"/>
      <c r="FLL15" s="518"/>
      <c r="FLM15" s="518"/>
      <c r="FLN15" s="518"/>
      <c r="FLO15" s="518"/>
      <c r="FLP15" s="518"/>
      <c r="FLQ15" s="518"/>
      <c r="FLR15" s="518"/>
      <c r="FLS15" s="518"/>
      <c r="FLT15" s="518"/>
      <c r="FLU15" s="518"/>
      <c r="FLV15" s="518"/>
      <c r="FLW15" s="518"/>
      <c r="FLX15" s="518"/>
      <c r="FLY15" s="518"/>
      <c r="FLZ15" s="518"/>
      <c r="FMA15" s="518"/>
      <c r="FMB15" s="518"/>
      <c r="FMC15" s="518"/>
      <c r="FMD15" s="518"/>
      <c r="FME15" s="518"/>
      <c r="FMF15" s="518"/>
      <c r="FMG15" s="518"/>
      <c r="FMH15" s="518"/>
      <c r="FMI15" s="518"/>
      <c r="FMJ15" s="518"/>
      <c r="FMK15" s="518"/>
      <c r="FML15" s="518"/>
      <c r="FMM15" s="518"/>
      <c r="FMN15" s="518"/>
      <c r="FMO15" s="518"/>
      <c r="FMP15" s="518"/>
      <c r="FMQ15" s="518"/>
      <c r="FMR15" s="518"/>
      <c r="FMS15" s="518"/>
      <c r="FMT15" s="518"/>
      <c r="FMU15" s="518"/>
      <c r="FMV15" s="518"/>
      <c r="FMW15" s="518"/>
      <c r="FMX15" s="518"/>
      <c r="FMY15" s="518"/>
      <c r="FMZ15" s="518"/>
      <c r="FNA15" s="518"/>
      <c r="FNB15" s="518"/>
      <c r="FNC15" s="518"/>
      <c r="FND15" s="518"/>
      <c r="FNE15" s="518"/>
      <c r="FNF15" s="518"/>
      <c r="FNG15" s="518"/>
      <c r="FNH15" s="518"/>
      <c r="FNI15" s="518"/>
      <c r="FNJ15" s="518"/>
      <c r="FNK15" s="518"/>
      <c r="FNL15" s="518"/>
      <c r="FNM15" s="518"/>
      <c r="FNN15" s="518"/>
      <c r="FNO15" s="518"/>
      <c r="FNP15" s="518"/>
      <c r="FNQ15" s="518"/>
      <c r="FNR15" s="518"/>
      <c r="FNS15" s="518"/>
      <c r="FNT15" s="518"/>
      <c r="FNU15" s="518"/>
      <c r="FNV15" s="518"/>
      <c r="FNW15" s="518"/>
      <c r="FNX15" s="518"/>
      <c r="FNY15" s="518"/>
      <c r="FNZ15" s="518"/>
      <c r="FOA15" s="518"/>
      <c r="FOB15" s="518"/>
      <c r="FOC15" s="518"/>
      <c r="FOD15" s="518"/>
      <c r="FOE15" s="518"/>
      <c r="FOF15" s="518"/>
      <c r="FOG15" s="518"/>
      <c r="FOH15" s="518"/>
      <c r="FOI15" s="518"/>
      <c r="FOJ15" s="518"/>
      <c r="FOK15" s="518"/>
      <c r="FOL15" s="518"/>
      <c r="FOM15" s="518"/>
      <c r="FON15" s="518"/>
      <c r="FOO15" s="518"/>
      <c r="FOP15" s="518"/>
      <c r="FOQ15" s="518"/>
      <c r="FOR15" s="518"/>
      <c r="FOS15" s="518"/>
      <c r="FOT15" s="518"/>
      <c r="FOU15" s="518"/>
      <c r="FOV15" s="518"/>
      <c r="FOW15" s="518"/>
      <c r="FOX15" s="518"/>
      <c r="FOY15" s="518"/>
      <c r="FOZ15" s="518"/>
      <c r="FPA15" s="518"/>
      <c r="FPB15" s="518"/>
      <c r="FPC15" s="518"/>
      <c r="FPD15" s="518"/>
      <c r="FPE15" s="518"/>
      <c r="FPF15" s="518"/>
      <c r="FPG15" s="518"/>
      <c r="FPH15" s="518"/>
      <c r="FPI15" s="518"/>
      <c r="FPJ15" s="518"/>
      <c r="FPK15" s="518"/>
      <c r="FPL15" s="518"/>
      <c r="FPM15" s="518"/>
      <c r="FPN15" s="518"/>
      <c r="FPO15" s="518"/>
      <c r="FPP15" s="518"/>
      <c r="FPQ15" s="518"/>
      <c r="FPR15" s="518"/>
      <c r="FPS15" s="518"/>
      <c r="FPT15" s="518"/>
      <c r="FPU15" s="518"/>
      <c r="FPV15" s="518"/>
      <c r="FPW15" s="518"/>
      <c r="FPX15" s="518"/>
      <c r="FPY15" s="518"/>
      <c r="FPZ15" s="518"/>
      <c r="FQA15" s="518"/>
      <c r="FQB15" s="518"/>
      <c r="FQC15" s="518"/>
      <c r="FQD15" s="518"/>
      <c r="FQE15" s="518"/>
      <c r="FQF15" s="518"/>
      <c r="FQG15" s="518"/>
      <c r="FQH15" s="518"/>
      <c r="FQI15" s="518"/>
      <c r="FQJ15" s="518"/>
      <c r="FQK15" s="518"/>
      <c r="FQL15" s="518"/>
      <c r="FQM15" s="518"/>
      <c r="FQN15" s="518"/>
      <c r="FQO15" s="518"/>
      <c r="FQP15" s="518"/>
      <c r="FQQ15" s="518"/>
      <c r="FQR15" s="518"/>
      <c r="FQS15" s="518"/>
      <c r="FQT15" s="518"/>
      <c r="FQU15" s="518"/>
      <c r="FQV15" s="518"/>
      <c r="FQW15" s="518"/>
      <c r="FQX15" s="518"/>
      <c r="FQY15" s="518"/>
      <c r="FQZ15" s="518"/>
      <c r="FRA15" s="518"/>
      <c r="FRB15" s="518"/>
      <c r="FRC15" s="518"/>
      <c r="FRD15" s="518"/>
      <c r="FRE15" s="518"/>
      <c r="FRF15" s="518"/>
      <c r="FRG15" s="518"/>
      <c r="FRH15" s="518"/>
      <c r="FRI15" s="518"/>
      <c r="FRJ15" s="518"/>
      <c r="FRK15" s="518"/>
      <c r="FRL15" s="518"/>
      <c r="FRM15" s="518"/>
      <c r="FRN15" s="518"/>
      <c r="FRO15" s="518"/>
      <c r="FRP15" s="518"/>
      <c r="FRQ15" s="518"/>
      <c r="FRR15" s="518"/>
      <c r="FRS15" s="518"/>
      <c r="FRT15" s="518"/>
      <c r="FRU15" s="518"/>
      <c r="FRV15" s="518"/>
      <c r="FRW15" s="518"/>
      <c r="FRX15" s="518"/>
      <c r="FRY15" s="518"/>
      <c r="FRZ15" s="518"/>
      <c r="FSA15" s="518"/>
      <c r="FSB15" s="518"/>
      <c r="FSC15" s="518"/>
      <c r="FSD15" s="518"/>
      <c r="FSE15" s="518"/>
      <c r="FSF15" s="518"/>
      <c r="FSG15" s="518"/>
      <c r="FSH15" s="518"/>
      <c r="FSI15" s="518"/>
      <c r="FSJ15" s="518"/>
      <c r="FSK15" s="518"/>
      <c r="FSL15" s="518"/>
      <c r="FSM15" s="518"/>
      <c r="FSN15" s="518"/>
      <c r="FSO15" s="518"/>
      <c r="FSP15" s="518"/>
      <c r="FSQ15" s="518"/>
      <c r="FSR15" s="518"/>
      <c r="FSS15" s="518"/>
      <c r="FST15" s="518"/>
      <c r="FSU15" s="518"/>
      <c r="FSV15" s="518"/>
      <c r="FSW15" s="518"/>
      <c r="FSX15" s="518"/>
      <c r="FSY15" s="518"/>
      <c r="FSZ15" s="518"/>
      <c r="FTA15" s="518"/>
      <c r="FTB15" s="518"/>
      <c r="FTC15" s="518"/>
      <c r="FTD15" s="518"/>
      <c r="FTE15" s="518"/>
      <c r="FTF15" s="518"/>
      <c r="FTG15" s="518"/>
      <c r="FTH15" s="518"/>
      <c r="FTI15" s="518"/>
      <c r="FTJ15" s="518"/>
      <c r="FTK15" s="518"/>
      <c r="FTL15" s="518"/>
      <c r="FTM15" s="518"/>
      <c r="FTN15" s="518"/>
      <c r="FTO15" s="518"/>
      <c r="FTP15" s="518"/>
      <c r="FTQ15" s="518"/>
      <c r="FTR15" s="518"/>
      <c r="FTS15" s="518"/>
      <c r="FTT15" s="518"/>
      <c r="FTU15" s="518"/>
      <c r="FTV15" s="518"/>
      <c r="FTW15" s="518"/>
      <c r="FTX15" s="518"/>
      <c r="FTY15" s="518"/>
      <c r="FTZ15" s="518"/>
      <c r="FUA15" s="518"/>
      <c r="FUB15" s="518"/>
      <c r="FUC15" s="518"/>
      <c r="FUD15" s="518"/>
      <c r="FUE15" s="518"/>
      <c r="FUF15" s="518"/>
      <c r="FUG15" s="518"/>
      <c r="FUH15" s="518"/>
      <c r="FUI15" s="518"/>
      <c r="FUJ15" s="518"/>
      <c r="FUK15" s="518"/>
      <c r="FUL15" s="518"/>
      <c r="FUM15" s="518"/>
      <c r="FUN15" s="518"/>
      <c r="FUO15" s="518"/>
      <c r="FUP15" s="518"/>
      <c r="FUQ15" s="518"/>
      <c r="FUR15" s="518"/>
      <c r="FUS15" s="518"/>
      <c r="FUT15" s="518"/>
      <c r="FUU15" s="518"/>
      <c r="FUV15" s="518"/>
      <c r="FUW15" s="518"/>
      <c r="FUX15" s="518"/>
      <c r="FUY15" s="518"/>
      <c r="FUZ15" s="518"/>
      <c r="FVA15" s="518"/>
      <c r="FVB15" s="518"/>
      <c r="FVC15" s="518"/>
      <c r="FVD15" s="518"/>
      <c r="FVE15" s="518"/>
      <c r="FVF15" s="518"/>
      <c r="FVG15" s="518"/>
      <c r="FVH15" s="518"/>
      <c r="FVI15" s="518"/>
      <c r="FVJ15" s="518"/>
      <c r="FVK15" s="518"/>
      <c r="FVL15" s="518"/>
      <c r="FVM15" s="518"/>
      <c r="FVN15" s="518"/>
      <c r="FVO15" s="518"/>
      <c r="FVP15" s="518"/>
      <c r="FVQ15" s="518"/>
      <c r="FVR15" s="518"/>
      <c r="FVS15" s="518"/>
      <c r="FVT15" s="518"/>
      <c r="FVU15" s="518"/>
      <c r="FVV15" s="518"/>
      <c r="FVW15" s="518"/>
      <c r="FVX15" s="518"/>
      <c r="FVY15" s="518"/>
      <c r="FVZ15" s="518"/>
      <c r="FWA15" s="518"/>
      <c r="FWB15" s="518"/>
      <c r="FWC15" s="518"/>
      <c r="FWD15" s="518"/>
      <c r="FWE15" s="518"/>
      <c r="FWF15" s="518"/>
      <c r="FWG15" s="518"/>
      <c r="FWH15" s="518"/>
      <c r="FWI15" s="518"/>
      <c r="FWJ15" s="518"/>
      <c r="FWK15" s="518"/>
      <c r="FWL15" s="518"/>
      <c r="FWM15" s="518"/>
      <c r="FWN15" s="518"/>
      <c r="FWO15" s="518"/>
      <c r="FWP15" s="518"/>
      <c r="FWQ15" s="518"/>
      <c r="FWR15" s="518"/>
      <c r="FWS15" s="518"/>
      <c r="FWT15" s="518"/>
      <c r="FWU15" s="518"/>
      <c r="FWV15" s="518"/>
      <c r="FWW15" s="518"/>
      <c r="FWX15" s="518"/>
      <c r="FWY15" s="518"/>
      <c r="FWZ15" s="518"/>
      <c r="FXA15" s="518"/>
      <c r="FXB15" s="518"/>
      <c r="FXC15" s="518"/>
      <c r="FXD15" s="518"/>
      <c r="FXE15" s="518"/>
      <c r="FXF15" s="518"/>
      <c r="FXG15" s="518"/>
      <c r="FXH15" s="518"/>
      <c r="FXI15" s="518"/>
      <c r="FXJ15" s="518"/>
      <c r="FXK15" s="518"/>
      <c r="FXL15" s="518"/>
      <c r="FXM15" s="518"/>
      <c r="FXN15" s="518"/>
      <c r="FXO15" s="518"/>
      <c r="FXP15" s="518"/>
      <c r="FXQ15" s="518"/>
      <c r="FXR15" s="518"/>
      <c r="FXS15" s="518"/>
      <c r="FXT15" s="518"/>
      <c r="FXU15" s="518"/>
      <c r="FXV15" s="518"/>
      <c r="FXW15" s="518"/>
      <c r="FXX15" s="518"/>
      <c r="FXY15" s="518"/>
      <c r="FXZ15" s="518"/>
      <c r="FYA15" s="518"/>
      <c r="FYB15" s="518"/>
      <c r="FYC15" s="518"/>
      <c r="FYD15" s="518"/>
      <c r="FYE15" s="518"/>
      <c r="FYF15" s="518"/>
      <c r="FYG15" s="518"/>
      <c r="FYH15" s="518"/>
      <c r="FYI15" s="518"/>
      <c r="FYJ15" s="518"/>
      <c r="FYK15" s="518"/>
      <c r="FYL15" s="518"/>
      <c r="FYM15" s="518"/>
      <c r="FYN15" s="518"/>
      <c r="FYO15" s="518"/>
      <c r="FYP15" s="518"/>
      <c r="FYQ15" s="518"/>
      <c r="FYR15" s="518"/>
      <c r="FYS15" s="518"/>
      <c r="FYT15" s="518"/>
      <c r="FYU15" s="518"/>
      <c r="FYV15" s="518"/>
      <c r="FYW15" s="518"/>
      <c r="FYX15" s="518"/>
      <c r="FYY15" s="518"/>
      <c r="FYZ15" s="518"/>
      <c r="FZA15" s="518"/>
      <c r="FZB15" s="518"/>
      <c r="FZC15" s="518"/>
      <c r="FZD15" s="518"/>
      <c r="FZE15" s="518"/>
      <c r="FZF15" s="518"/>
      <c r="FZG15" s="518"/>
      <c r="FZH15" s="518"/>
      <c r="FZI15" s="518"/>
      <c r="FZJ15" s="518"/>
      <c r="FZK15" s="518"/>
      <c r="FZL15" s="518"/>
      <c r="FZM15" s="518"/>
      <c r="FZN15" s="518"/>
      <c r="FZO15" s="518"/>
      <c r="FZP15" s="518"/>
      <c r="FZQ15" s="518"/>
      <c r="FZR15" s="518"/>
      <c r="FZS15" s="518"/>
      <c r="FZT15" s="518"/>
      <c r="FZU15" s="518"/>
      <c r="FZV15" s="518"/>
      <c r="FZW15" s="518"/>
      <c r="FZX15" s="518"/>
      <c r="FZY15" s="518"/>
      <c r="FZZ15" s="518"/>
      <c r="GAA15" s="518"/>
      <c r="GAB15" s="518"/>
      <c r="GAC15" s="518"/>
      <c r="GAD15" s="518"/>
      <c r="GAE15" s="518"/>
      <c r="GAF15" s="518"/>
      <c r="GAG15" s="518"/>
      <c r="GAH15" s="518"/>
      <c r="GAI15" s="518"/>
      <c r="GAJ15" s="518"/>
      <c r="GAK15" s="518"/>
      <c r="GAL15" s="518"/>
      <c r="GAM15" s="518"/>
      <c r="GAN15" s="518"/>
      <c r="GAO15" s="518"/>
      <c r="GAP15" s="518"/>
      <c r="GAQ15" s="518"/>
      <c r="GAR15" s="518"/>
      <c r="GAS15" s="518"/>
      <c r="GAT15" s="518"/>
      <c r="GAU15" s="518"/>
      <c r="GAV15" s="518"/>
      <c r="GAW15" s="518"/>
      <c r="GAX15" s="518"/>
      <c r="GAY15" s="518"/>
      <c r="GAZ15" s="518"/>
      <c r="GBA15" s="518"/>
      <c r="GBB15" s="518"/>
      <c r="GBC15" s="518"/>
      <c r="GBD15" s="518"/>
      <c r="GBE15" s="518"/>
      <c r="GBF15" s="518"/>
      <c r="GBG15" s="518"/>
      <c r="GBH15" s="518"/>
      <c r="GBI15" s="518"/>
      <c r="GBJ15" s="518"/>
      <c r="GBK15" s="518"/>
      <c r="GBL15" s="518"/>
      <c r="GBM15" s="518"/>
      <c r="GBN15" s="518"/>
      <c r="GBO15" s="518"/>
      <c r="GBP15" s="518"/>
      <c r="GBQ15" s="518"/>
      <c r="GBR15" s="518"/>
      <c r="GBS15" s="518"/>
      <c r="GBT15" s="518"/>
      <c r="GBU15" s="518"/>
      <c r="GBV15" s="518"/>
      <c r="GBW15" s="518"/>
      <c r="GBX15" s="518"/>
      <c r="GBY15" s="518"/>
      <c r="GBZ15" s="518"/>
      <c r="GCA15" s="518"/>
      <c r="GCB15" s="518"/>
      <c r="GCC15" s="518"/>
      <c r="GCD15" s="518"/>
      <c r="GCE15" s="518"/>
      <c r="GCF15" s="518"/>
      <c r="GCG15" s="518"/>
      <c r="GCH15" s="518"/>
      <c r="GCI15" s="518"/>
      <c r="GCJ15" s="518"/>
      <c r="GCK15" s="518"/>
      <c r="GCL15" s="518"/>
      <c r="GCM15" s="518"/>
      <c r="GCN15" s="518"/>
      <c r="GCO15" s="518"/>
      <c r="GCP15" s="518"/>
      <c r="GCQ15" s="518"/>
      <c r="GCR15" s="518"/>
      <c r="GCS15" s="518"/>
      <c r="GCT15" s="518"/>
      <c r="GCU15" s="518"/>
      <c r="GCV15" s="518"/>
      <c r="GCW15" s="518"/>
      <c r="GCX15" s="518"/>
      <c r="GCY15" s="518"/>
      <c r="GCZ15" s="518"/>
      <c r="GDA15" s="518"/>
      <c r="GDB15" s="518"/>
      <c r="GDC15" s="518"/>
      <c r="GDD15" s="518"/>
      <c r="GDE15" s="518"/>
      <c r="GDF15" s="518"/>
      <c r="GDG15" s="518"/>
      <c r="GDH15" s="518"/>
      <c r="GDI15" s="518"/>
      <c r="GDJ15" s="518"/>
      <c r="GDK15" s="518"/>
      <c r="GDL15" s="518"/>
      <c r="GDM15" s="518"/>
      <c r="GDN15" s="518"/>
      <c r="GDO15" s="518"/>
      <c r="GDP15" s="518"/>
      <c r="GDQ15" s="518"/>
      <c r="GDR15" s="518"/>
      <c r="GDS15" s="518"/>
      <c r="GDT15" s="518"/>
      <c r="GDU15" s="518"/>
      <c r="GDV15" s="518"/>
      <c r="GDW15" s="518"/>
      <c r="GDX15" s="518"/>
      <c r="GDY15" s="518"/>
      <c r="GDZ15" s="518"/>
      <c r="GEA15" s="518"/>
      <c r="GEB15" s="518"/>
      <c r="GEC15" s="518"/>
      <c r="GED15" s="518"/>
      <c r="GEE15" s="518"/>
      <c r="GEF15" s="518"/>
      <c r="GEG15" s="518"/>
      <c r="GEH15" s="518"/>
      <c r="GEI15" s="518"/>
      <c r="GEJ15" s="518"/>
      <c r="GEK15" s="518"/>
      <c r="GEL15" s="518"/>
      <c r="GEM15" s="518"/>
      <c r="GEN15" s="518"/>
      <c r="GEO15" s="518"/>
      <c r="GEP15" s="518"/>
      <c r="GEQ15" s="518"/>
      <c r="GER15" s="518"/>
      <c r="GES15" s="518"/>
      <c r="GET15" s="518"/>
      <c r="GEU15" s="518"/>
      <c r="GEV15" s="518"/>
      <c r="GEW15" s="518"/>
      <c r="GEX15" s="518"/>
      <c r="GEY15" s="518"/>
      <c r="GEZ15" s="518"/>
      <c r="GFA15" s="518"/>
      <c r="GFB15" s="518"/>
      <c r="GFC15" s="518"/>
      <c r="GFD15" s="518"/>
      <c r="GFE15" s="518"/>
      <c r="GFF15" s="518"/>
      <c r="GFG15" s="518"/>
      <c r="GFH15" s="518"/>
      <c r="GFI15" s="518"/>
      <c r="GFJ15" s="518"/>
      <c r="GFK15" s="518"/>
      <c r="GFL15" s="518"/>
      <c r="GFM15" s="518"/>
      <c r="GFN15" s="518"/>
      <c r="GFO15" s="518"/>
      <c r="GFP15" s="518"/>
      <c r="GFQ15" s="518"/>
      <c r="GFR15" s="518"/>
      <c r="GFS15" s="518"/>
      <c r="GFT15" s="518"/>
      <c r="GFU15" s="518"/>
      <c r="GFV15" s="518"/>
      <c r="GFW15" s="518"/>
      <c r="GFX15" s="518"/>
      <c r="GFY15" s="518"/>
      <c r="GFZ15" s="518"/>
      <c r="GGA15" s="518"/>
      <c r="GGB15" s="518"/>
      <c r="GGC15" s="518"/>
      <c r="GGD15" s="518"/>
      <c r="GGE15" s="518"/>
      <c r="GGF15" s="518"/>
      <c r="GGG15" s="518"/>
      <c r="GGH15" s="518"/>
      <c r="GGI15" s="518"/>
      <c r="GGJ15" s="518"/>
      <c r="GGK15" s="518"/>
      <c r="GGL15" s="518"/>
      <c r="GGM15" s="518"/>
      <c r="GGN15" s="518"/>
      <c r="GGO15" s="518"/>
      <c r="GGP15" s="518"/>
      <c r="GGQ15" s="518"/>
      <c r="GGR15" s="518"/>
      <c r="GGS15" s="518"/>
      <c r="GGT15" s="518"/>
      <c r="GGU15" s="518"/>
      <c r="GGV15" s="518"/>
      <c r="GGW15" s="518"/>
      <c r="GGX15" s="518"/>
      <c r="GGY15" s="518"/>
      <c r="GGZ15" s="518"/>
      <c r="GHA15" s="518"/>
      <c r="GHB15" s="518"/>
      <c r="GHC15" s="518"/>
      <c r="GHD15" s="518"/>
      <c r="GHE15" s="518"/>
      <c r="GHF15" s="518"/>
      <c r="GHG15" s="518"/>
      <c r="GHH15" s="518"/>
      <c r="GHI15" s="518"/>
      <c r="GHJ15" s="518"/>
      <c r="GHK15" s="518"/>
      <c r="GHL15" s="518"/>
      <c r="GHM15" s="518"/>
      <c r="GHN15" s="518"/>
      <c r="GHO15" s="518"/>
      <c r="GHP15" s="518"/>
      <c r="GHQ15" s="518"/>
      <c r="GHR15" s="518"/>
      <c r="GHS15" s="518"/>
      <c r="GHT15" s="518"/>
      <c r="GHU15" s="518"/>
      <c r="GHV15" s="518"/>
      <c r="GHW15" s="518"/>
      <c r="GHX15" s="518"/>
      <c r="GHY15" s="518"/>
      <c r="GHZ15" s="518"/>
      <c r="GIA15" s="518"/>
      <c r="GIB15" s="518"/>
      <c r="GIC15" s="518"/>
      <c r="GID15" s="518"/>
      <c r="GIE15" s="518"/>
      <c r="GIF15" s="518"/>
      <c r="GIG15" s="518"/>
      <c r="GIH15" s="518"/>
      <c r="GII15" s="518"/>
      <c r="GIJ15" s="518"/>
      <c r="GIK15" s="518"/>
      <c r="GIL15" s="518"/>
      <c r="GIM15" s="518"/>
      <c r="GIN15" s="518"/>
      <c r="GIO15" s="518"/>
      <c r="GIP15" s="518"/>
      <c r="GIQ15" s="518"/>
      <c r="GIR15" s="518"/>
      <c r="GIS15" s="518"/>
      <c r="GIT15" s="518"/>
      <c r="GIU15" s="518"/>
      <c r="GIV15" s="518"/>
      <c r="GIW15" s="518"/>
      <c r="GIX15" s="518"/>
      <c r="GIY15" s="518"/>
      <c r="GIZ15" s="518"/>
      <c r="GJA15" s="518"/>
      <c r="GJB15" s="518"/>
      <c r="GJC15" s="518"/>
      <c r="GJD15" s="518"/>
      <c r="GJE15" s="518"/>
      <c r="GJF15" s="518"/>
      <c r="GJG15" s="518"/>
      <c r="GJH15" s="518"/>
      <c r="GJI15" s="518"/>
      <c r="GJJ15" s="518"/>
      <c r="GJK15" s="518"/>
      <c r="GJL15" s="518"/>
      <c r="GJM15" s="518"/>
      <c r="GJN15" s="518"/>
      <c r="GJO15" s="518"/>
      <c r="GJP15" s="518"/>
      <c r="GJQ15" s="518"/>
      <c r="GJR15" s="518"/>
      <c r="GJS15" s="518"/>
      <c r="GJT15" s="518"/>
      <c r="GJU15" s="518"/>
      <c r="GJV15" s="518"/>
      <c r="GJW15" s="518"/>
      <c r="GJX15" s="518"/>
      <c r="GJY15" s="518"/>
      <c r="GJZ15" s="518"/>
      <c r="GKA15" s="518"/>
      <c r="GKB15" s="518"/>
      <c r="GKC15" s="518"/>
      <c r="GKD15" s="518"/>
      <c r="GKE15" s="518"/>
      <c r="GKF15" s="518"/>
      <c r="GKG15" s="518"/>
      <c r="GKH15" s="518"/>
      <c r="GKI15" s="518"/>
      <c r="GKJ15" s="518"/>
      <c r="GKK15" s="518"/>
      <c r="GKL15" s="518"/>
      <c r="GKM15" s="518"/>
      <c r="GKN15" s="518"/>
      <c r="GKO15" s="518"/>
      <c r="GKP15" s="518"/>
      <c r="GKQ15" s="518"/>
      <c r="GKR15" s="518"/>
      <c r="GKS15" s="518"/>
      <c r="GKT15" s="518"/>
      <c r="GKU15" s="518"/>
      <c r="GKV15" s="518"/>
      <c r="GKW15" s="518"/>
      <c r="GKX15" s="518"/>
      <c r="GKY15" s="518"/>
      <c r="GKZ15" s="518"/>
      <c r="GLA15" s="518"/>
      <c r="GLB15" s="518"/>
      <c r="GLC15" s="518"/>
      <c r="GLD15" s="518"/>
      <c r="GLE15" s="518"/>
      <c r="GLF15" s="518"/>
      <c r="GLG15" s="518"/>
      <c r="GLH15" s="518"/>
      <c r="GLI15" s="518"/>
      <c r="GLJ15" s="518"/>
      <c r="GLK15" s="518"/>
      <c r="GLL15" s="518"/>
      <c r="GLM15" s="518"/>
      <c r="GLN15" s="518"/>
      <c r="GLO15" s="518"/>
      <c r="GLP15" s="518"/>
      <c r="GLQ15" s="518"/>
      <c r="GLR15" s="518"/>
      <c r="GLS15" s="518"/>
      <c r="GLT15" s="518"/>
      <c r="GLU15" s="518"/>
      <c r="GLV15" s="518"/>
      <c r="GLW15" s="518"/>
      <c r="GLX15" s="518"/>
      <c r="GLY15" s="518"/>
      <c r="GLZ15" s="518"/>
      <c r="GMA15" s="518"/>
      <c r="GMB15" s="518"/>
      <c r="GMC15" s="518"/>
      <c r="GMD15" s="518"/>
      <c r="GME15" s="518"/>
      <c r="GMF15" s="518"/>
      <c r="GMG15" s="518"/>
      <c r="GMH15" s="518"/>
      <c r="GMI15" s="518"/>
      <c r="GMJ15" s="518"/>
      <c r="GMK15" s="518"/>
      <c r="GML15" s="518"/>
      <c r="GMM15" s="518"/>
      <c r="GMN15" s="518"/>
      <c r="GMO15" s="518"/>
      <c r="GMP15" s="518"/>
      <c r="GMQ15" s="518"/>
      <c r="GMR15" s="518"/>
      <c r="GMS15" s="518"/>
      <c r="GMT15" s="518"/>
      <c r="GMU15" s="518"/>
      <c r="GMV15" s="518"/>
      <c r="GMW15" s="518"/>
      <c r="GMX15" s="518"/>
      <c r="GMY15" s="518"/>
      <c r="GMZ15" s="518"/>
      <c r="GNA15" s="518"/>
      <c r="GNB15" s="518"/>
      <c r="GNC15" s="518"/>
      <c r="GND15" s="518"/>
      <c r="GNE15" s="518"/>
      <c r="GNF15" s="518"/>
      <c r="GNG15" s="518"/>
      <c r="GNH15" s="518"/>
      <c r="GNI15" s="518"/>
      <c r="GNJ15" s="518"/>
      <c r="GNK15" s="518"/>
      <c r="GNL15" s="518"/>
      <c r="GNM15" s="518"/>
      <c r="GNN15" s="518"/>
      <c r="GNO15" s="518"/>
      <c r="GNP15" s="518"/>
      <c r="GNQ15" s="518"/>
      <c r="GNR15" s="518"/>
      <c r="GNS15" s="518"/>
      <c r="GNT15" s="518"/>
      <c r="GNU15" s="518"/>
      <c r="GNV15" s="518"/>
      <c r="GNW15" s="518"/>
      <c r="GNX15" s="518"/>
      <c r="GNY15" s="518"/>
      <c r="GNZ15" s="518"/>
      <c r="GOA15" s="518"/>
      <c r="GOB15" s="518"/>
      <c r="GOC15" s="518"/>
      <c r="GOD15" s="518"/>
      <c r="GOE15" s="518"/>
      <c r="GOF15" s="518"/>
      <c r="GOG15" s="518"/>
      <c r="GOH15" s="518"/>
      <c r="GOI15" s="518"/>
      <c r="GOJ15" s="518"/>
      <c r="GOK15" s="518"/>
      <c r="GOL15" s="518"/>
      <c r="GOM15" s="518"/>
      <c r="GON15" s="518"/>
      <c r="GOO15" s="518"/>
      <c r="GOP15" s="518"/>
      <c r="GOQ15" s="518"/>
      <c r="GOR15" s="518"/>
      <c r="GOS15" s="518"/>
      <c r="GOT15" s="518"/>
      <c r="GOU15" s="518"/>
      <c r="GOV15" s="518"/>
      <c r="GOW15" s="518"/>
      <c r="GOX15" s="518"/>
      <c r="GOY15" s="518"/>
      <c r="GOZ15" s="518"/>
      <c r="GPA15" s="518"/>
      <c r="GPB15" s="518"/>
      <c r="GPC15" s="518"/>
      <c r="GPD15" s="518"/>
      <c r="GPE15" s="518"/>
      <c r="GPF15" s="518"/>
      <c r="GPG15" s="518"/>
      <c r="GPH15" s="518"/>
      <c r="GPI15" s="518"/>
      <c r="GPJ15" s="518"/>
      <c r="GPK15" s="518"/>
      <c r="GPL15" s="518"/>
      <c r="GPM15" s="518"/>
      <c r="GPN15" s="518"/>
      <c r="GPO15" s="518"/>
      <c r="GPP15" s="518"/>
      <c r="GPQ15" s="518"/>
      <c r="GPR15" s="518"/>
      <c r="GPS15" s="518"/>
      <c r="GPT15" s="518"/>
      <c r="GPU15" s="518"/>
      <c r="GPV15" s="518"/>
      <c r="GPW15" s="518"/>
      <c r="GPX15" s="518"/>
      <c r="GPY15" s="518"/>
      <c r="GPZ15" s="518"/>
      <c r="GQA15" s="518"/>
      <c r="GQB15" s="518"/>
      <c r="GQC15" s="518"/>
      <c r="GQD15" s="518"/>
      <c r="GQE15" s="518"/>
      <c r="GQF15" s="518"/>
      <c r="GQG15" s="518"/>
      <c r="GQH15" s="518"/>
      <c r="GQI15" s="518"/>
      <c r="GQJ15" s="518"/>
      <c r="GQK15" s="518"/>
      <c r="GQL15" s="518"/>
      <c r="GQM15" s="518"/>
      <c r="GQN15" s="518"/>
      <c r="GQO15" s="518"/>
      <c r="GQP15" s="518"/>
      <c r="GQQ15" s="518"/>
      <c r="GQR15" s="518"/>
      <c r="GQS15" s="518"/>
      <c r="GQT15" s="518"/>
      <c r="GQU15" s="518"/>
      <c r="GQV15" s="518"/>
      <c r="GQW15" s="518"/>
      <c r="GQX15" s="518"/>
      <c r="GQY15" s="518"/>
      <c r="GQZ15" s="518"/>
      <c r="GRA15" s="518"/>
      <c r="GRB15" s="518"/>
      <c r="GRC15" s="518"/>
      <c r="GRD15" s="518"/>
      <c r="GRE15" s="518"/>
      <c r="GRF15" s="518"/>
      <c r="GRG15" s="518"/>
      <c r="GRH15" s="518"/>
      <c r="GRI15" s="518"/>
      <c r="GRJ15" s="518"/>
      <c r="GRK15" s="518"/>
      <c r="GRL15" s="518"/>
      <c r="GRM15" s="518"/>
      <c r="GRN15" s="518"/>
      <c r="GRO15" s="518"/>
      <c r="GRP15" s="518"/>
      <c r="GRQ15" s="518"/>
      <c r="GRR15" s="518"/>
      <c r="GRS15" s="518"/>
      <c r="GRT15" s="518"/>
      <c r="GRU15" s="518"/>
      <c r="GRV15" s="518"/>
      <c r="GRW15" s="518"/>
      <c r="GRX15" s="518"/>
      <c r="GRY15" s="518"/>
      <c r="GRZ15" s="518"/>
      <c r="GSA15" s="518"/>
      <c r="GSB15" s="518"/>
      <c r="GSC15" s="518"/>
      <c r="GSD15" s="518"/>
      <c r="GSE15" s="518"/>
      <c r="GSF15" s="518"/>
      <c r="GSG15" s="518"/>
      <c r="GSH15" s="518"/>
      <c r="GSI15" s="518"/>
      <c r="GSJ15" s="518"/>
      <c r="GSK15" s="518"/>
      <c r="GSL15" s="518"/>
      <c r="GSM15" s="518"/>
      <c r="GSN15" s="518"/>
      <c r="GSO15" s="518"/>
      <c r="GSP15" s="518"/>
      <c r="GSQ15" s="518"/>
      <c r="GSR15" s="518"/>
      <c r="GSS15" s="518"/>
      <c r="GST15" s="518"/>
      <c r="GSU15" s="518"/>
      <c r="GSV15" s="518"/>
      <c r="GSW15" s="518"/>
      <c r="GSX15" s="518"/>
      <c r="GSY15" s="518"/>
      <c r="GSZ15" s="518"/>
      <c r="GTA15" s="518"/>
      <c r="GTB15" s="518"/>
      <c r="GTC15" s="518"/>
      <c r="GTD15" s="518"/>
      <c r="GTE15" s="518"/>
      <c r="GTF15" s="518"/>
      <c r="GTG15" s="518"/>
      <c r="GTH15" s="518"/>
      <c r="GTI15" s="518"/>
      <c r="GTJ15" s="518"/>
      <c r="GTK15" s="518"/>
      <c r="GTL15" s="518"/>
      <c r="GTM15" s="518"/>
      <c r="GTN15" s="518"/>
      <c r="GTO15" s="518"/>
      <c r="GTP15" s="518"/>
      <c r="GTQ15" s="518"/>
      <c r="GTR15" s="518"/>
      <c r="GTS15" s="518"/>
      <c r="GTT15" s="518"/>
      <c r="GTU15" s="518"/>
      <c r="GTV15" s="518"/>
      <c r="GTW15" s="518"/>
      <c r="GTX15" s="518"/>
      <c r="GTY15" s="518"/>
      <c r="GTZ15" s="518"/>
      <c r="GUA15" s="518"/>
      <c r="GUB15" s="518"/>
      <c r="GUC15" s="518"/>
      <c r="GUD15" s="518"/>
      <c r="GUE15" s="518"/>
      <c r="GUF15" s="518"/>
      <c r="GUG15" s="518"/>
      <c r="GUH15" s="518"/>
      <c r="GUI15" s="518"/>
      <c r="GUJ15" s="518"/>
      <c r="GUK15" s="518"/>
      <c r="GUL15" s="518"/>
      <c r="GUM15" s="518"/>
      <c r="GUN15" s="518"/>
      <c r="GUO15" s="518"/>
      <c r="GUP15" s="518"/>
      <c r="GUQ15" s="518"/>
      <c r="GUR15" s="518"/>
      <c r="GUS15" s="518"/>
      <c r="GUT15" s="518"/>
      <c r="GUU15" s="518"/>
      <c r="GUV15" s="518"/>
      <c r="GUW15" s="518"/>
      <c r="GUX15" s="518"/>
      <c r="GUY15" s="518"/>
      <c r="GUZ15" s="518"/>
      <c r="GVA15" s="518"/>
      <c r="GVB15" s="518"/>
      <c r="GVC15" s="518"/>
      <c r="GVD15" s="518"/>
      <c r="GVE15" s="518"/>
      <c r="GVF15" s="518"/>
      <c r="GVG15" s="518"/>
      <c r="GVH15" s="518"/>
      <c r="GVI15" s="518"/>
      <c r="GVJ15" s="518"/>
      <c r="GVK15" s="518"/>
      <c r="GVL15" s="518"/>
      <c r="GVM15" s="518"/>
      <c r="GVN15" s="518"/>
      <c r="GVO15" s="518"/>
      <c r="GVP15" s="518"/>
      <c r="GVQ15" s="518"/>
      <c r="GVR15" s="518"/>
      <c r="GVS15" s="518"/>
      <c r="GVT15" s="518"/>
      <c r="GVU15" s="518"/>
      <c r="GVV15" s="518"/>
      <c r="GVW15" s="518"/>
      <c r="GVX15" s="518"/>
      <c r="GVY15" s="518"/>
      <c r="GVZ15" s="518"/>
      <c r="GWA15" s="518"/>
      <c r="GWB15" s="518"/>
      <c r="GWC15" s="518"/>
      <c r="GWD15" s="518"/>
      <c r="GWE15" s="518"/>
      <c r="GWF15" s="518"/>
      <c r="GWG15" s="518"/>
      <c r="GWH15" s="518"/>
      <c r="GWI15" s="518"/>
      <c r="GWJ15" s="518"/>
      <c r="GWK15" s="518"/>
      <c r="GWL15" s="518"/>
      <c r="GWM15" s="518"/>
      <c r="GWN15" s="518"/>
      <c r="GWO15" s="518"/>
      <c r="GWP15" s="518"/>
      <c r="GWQ15" s="518"/>
      <c r="GWR15" s="518"/>
      <c r="GWS15" s="518"/>
      <c r="GWT15" s="518"/>
      <c r="GWU15" s="518"/>
      <c r="GWV15" s="518"/>
      <c r="GWW15" s="518"/>
      <c r="GWX15" s="518"/>
      <c r="GWY15" s="518"/>
      <c r="GWZ15" s="518"/>
      <c r="GXA15" s="518"/>
      <c r="GXB15" s="518"/>
      <c r="GXC15" s="518"/>
      <c r="GXD15" s="518"/>
      <c r="GXE15" s="518"/>
      <c r="GXF15" s="518"/>
      <c r="GXG15" s="518"/>
      <c r="GXH15" s="518"/>
      <c r="GXI15" s="518"/>
      <c r="GXJ15" s="518"/>
      <c r="GXK15" s="518"/>
      <c r="GXL15" s="518"/>
      <c r="GXM15" s="518"/>
      <c r="GXN15" s="518"/>
      <c r="GXO15" s="518"/>
      <c r="GXP15" s="518"/>
      <c r="GXQ15" s="518"/>
      <c r="GXR15" s="518"/>
      <c r="GXS15" s="518"/>
      <c r="GXT15" s="518"/>
      <c r="GXU15" s="518"/>
      <c r="GXV15" s="518"/>
      <c r="GXW15" s="518"/>
      <c r="GXX15" s="518"/>
      <c r="GXY15" s="518"/>
      <c r="GXZ15" s="518"/>
      <c r="GYA15" s="518"/>
      <c r="GYB15" s="518"/>
      <c r="GYC15" s="518"/>
      <c r="GYD15" s="518"/>
      <c r="GYE15" s="518"/>
      <c r="GYF15" s="518"/>
      <c r="GYG15" s="518"/>
      <c r="GYH15" s="518"/>
      <c r="GYI15" s="518"/>
      <c r="GYJ15" s="518"/>
      <c r="GYK15" s="518"/>
      <c r="GYL15" s="518"/>
      <c r="GYM15" s="518"/>
      <c r="GYN15" s="518"/>
      <c r="GYO15" s="518"/>
      <c r="GYP15" s="518"/>
      <c r="GYQ15" s="518"/>
      <c r="GYR15" s="518"/>
      <c r="GYS15" s="518"/>
      <c r="GYT15" s="518"/>
      <c r="GYU15" s="518"/>
      <c r="GYV15" s="518"/>
      <c r="GYW15" s="518"/>
      <c r="GYX15" s="518"/>
      <c r="GYY15" s="518"/>
      <c r="GYZ15" s="518"/>
      <c r="GZA15" s="518"/>
      <c r="GZB15" s="518"/>
      <c r="GZC15" s="518"/>
      <c r="GZD15" s="518"/>
      <c r="GZE15" s="518"/>
      <c r="GZF15" s="518"/>
      <c r="GZG15" s="518"/>
      <c r="GZH15" s="518"/>
      <c r="GZI15" s="518"/>
      <c r="GZJ15" s="518"/>
      <c r="GZK15" s="518"/>
      <c r="GZL15" s="518"/>
      <c r="GZM15" s="518"/>
      <c r="GZN15" s="518"/>
      <c r="GZO15" s="518"/>
      <c r="GZP15" s="518"/>
      <c r="GZQ15" s="518"/>
      <c r="GZR15" s="518"/>
      <c r="GZS15" s="518"/>
      <c r="GZT15" s="518"/>
      <c r="GZU15" s="518"/>
      <c r="GZV15" s="518"/>
      <c r="GZW15" s="518"/>
      <c r="GZX15" s="518"/>
      <c r="GZY15" s="518"/>
      <c r="GZZ15" s="518"/>
      <c r="HAA15" s="518"/>
      <c r="HAB15" s="518"/>
      <c r="HAC15" s="518"/>
      <c r="HAD15" s="518"/>
      <c r="HAE15" s="518"/>
      <c r="HAF15" s="518"/>
      <c r="HAG15" s="518"/>
      <c r="HAH15" s="518"/>
      <c r="HAI15" s="518"/>
      <c r="HAJ15" s="518"/>
      <c r="HAK15" s="518"/>
      <c r="HAL15" s="518"/>
      <c r="HAM15" s="518"/>
      <c r="HAN15" s="518"/>
      <c r="HAO15" s="518"/>
      <c r="HAP15" s="518"/>
      <c r="HAQ15" s="518"/>
      <c r="HAR15" s="518"/>
      <c r="HAS15" s="518"/>
      <c r="HAT15" s="518"/>
      <c r="HAU15" s="518"/>
      <c r="HAV15" s="518"/>
      <c r="HAW15" s="518"/>
      <c r="HAX15" s="518"/>
      <c r="HAY15" s="518"/>
      <c r="HAZ15" s="518"/>
      <c r="HBA15" s="518"/>
      <c r="HBB15" s="518"/>
      <c r="HBC15" s="518"/>
      <c r="HBD15" s="518"/>
      <c r="HBE15" s="518"/>
      <c r="HBF15" s="518"/>
      <c r="HBG15" s="518"/>
      <c r="HBH15" s="518"/>
      <c r="HBI15" s="518"/>
      <c r="HBJ15" s="518"/>
      <c r="HBK15" s="518"/>
      <c r="HBL15" s="518"/>
      <c r="HBM15" s="518"/>
      <c r="HBN15" s="518"/>
      <c r="HBO15" s="518"/>
      <c r="HBP15" s="518"/>
      <c r="HBQ15" s="518"/>
      <c r="HBR15" s="518"/>
      <c r="HBS15" s="518"/>
      <c r="HBT15" s="518"/>
      <c r="HBU15" s="518"/>
      <c r="HBV15" s="518"/>
      <c r="HBW15" s="518"/>
      <c r="HBX15" s="518"/>
      <c r="HBY15" s="518"/>
      <c r="HBZ15" s="518"/>
      <c r="HCA15" s="518"/>
      <c r="HCB15" s="518"/>
      <c r="HCC15" s="518"/>
      <c r="HCD15" s="518"/>
      <c r="HCE15" s="518"/>
      <c r="HCF15" s="518"/>
      <c r="HCG15" s="518"/>
      <c r="HCH15" s="518"/>
      <c r="HCI15" s="518"/>
      <c r="HCJ15" s="518"/>
      <c r="HCK15" s="518"/>
      <c r="HCL15" s="518"/>
      <c r="HCM15" s="518"/>
      <c r="HCN15" s="518"/>
      <c r="HCO15" s="518"/>
      <c r="HCP15" s="518"/>
      <c r="HCQ15" s="518"/>
      <c r="HCR15" s="518"/>
      <c r="HCS15" s="518"/>
      <c r="HCT15" s="518"/>
      <c r="HCU15" s="518"/>
      <c r="HCV15" s="518"/>
      <c r="HCW15" s="518"/>
      <c r="HCX15" s="518"/>
      <c r="HCY15" s="518"/>
      <c r="HCZ15" s="518"/>
      <c r="HDA15" s="518"/>
      <c r="HDB15" s="518"/>
      <c r="HDC15" s="518"/>
      <c r="HDD15" s="518"/>
      <c r="HDE15" s="518"/>
      <c r="HDF15" s="518"/>
      <c r="HDG15" s="518"/>
      <c r="HDH15" s="518"/>
      <c r="HDI15" s="518"/>
      <c r="HDJ15" s="518"/>
      <c r="HDK15" s="518"/>
      <c r="HDL15" s="518"/>
      <c r="HDM15" s="518"/>
      <c r="HDN15" s="518"/>
      <c r="HDO15" s="518"/>
      <c r="HDP15" s="518"/>
      <c r="HDQ15" s="518"/>
      <c r="HDR15" s="518"/>
      <c r="HDS15" s="518"/>
      <c r="HDT15" s="518"/>
      <c r="HDU15" s="518"/>
      <c r="HDV15" s="518"/>
      <c r="HDW15" s="518"/>
      <c r="HDX15" s="518"/>
      <c r="HDY15" s="518"/>
      <c r="HDZ15" s="518"/>
      <c r="HEA15" s="518"/>
      <c r="HEB15" s="518"/>
      <c r="HEC15" s="518"/>
      <c r="HED15" s="518"/>
      <c r="HEE15" s="518"/>
      <c r="HEF15" s="518"/>
      <c r="HEG15" s="518"/>
      <c r="HEH15" s="518"/>
      <c r="HEI15" s="518"/>
      <c r="HEJ15" s="518"/>
      <c r="HEK15" s="518"/>
      <c r="HEL15" s="518"/>
      <c r="HEM15" s="518"/>
      <c r="HEN15" s="518"/>
      <c r="HEO15" s="518"/>
      <c r="HEP15" s="518"/>
      <c r="HEQ15" s="518"/>
      <c r="HER15" s="518"/>
      <c r="HES15" s="518"/>
      <c r="HET15" s="518"/>
      <c r="HEU15" s="518"/>
      <c r="HEV15" s="518"/>
      <c r="HEW15" s="518"/>
      <c r="HEX15" s="518"/>
      <c r="HEY15" s="518"/>
      <c r="HEZ15" s="518"/>
      <c r="HFA15" s="518"/>
      <c r="HFB15" s="518"/>
      <c r="HFC15" s="518"/>
      <c r="HFD15" s="518"/>
      <c r="HFE15" s="518"/>
      <c r="HFF15" s="518"/>
      <c r="HFG15" s="518"/>
      <c r="HFH15" s="518"/>
      <c r="HFI15" s="518"/>
      <c r="HFJ15" s="518"/>
      <c r="HFK15" s="518"/>
      <c r="HFL15" s="518"/>
      <c r="HFM15" s="518"/>
      <c r="HFN15" s="518"/>
      <c r="HFO15" s="518"/>
      <c r="HFP15" s="518"/>
      <c r="HFQ15" s="518"/>
      <c r="HFR15" s="518"/>
      <c r="HFS15" s="518"/>
      <c r="HFT15" s="518"/>
      <c r="HFU15" s="518"/>
      <c r="HFV15" s="518"/>
      <c r="HFW15" s="518"/>
      <c r="HFX15" s="518"/>
      <c r="HFY15" s="518"/>
      <c r="HFZ15" s="518"/>
      <c r="HGA15" s="518"/>
      <c r="HGB15" s="518"/>
      <c r="HGC15" s="518"/>
      <c r="HGD15" s="518"/>
      <c r="HGE15" s="518"/>
      <c r="HGF15" s="518"/>
      <c r="HGG15" s="518"/>
      <c r="HGH15" s="518"/>
      <c r="HGI15" s="518"/>
      <c r="HGJ15" s="518"/>
      <c r="HGK15" s="518"/>
      <c r="HGL15" s="518"/>
      <c r="HGM15" s="518"/>
      <c r="HGN15" s="518"/>
      <c r="HGO15" s="518"/>
      <c r="HGP15" s="518"/>
      <c r="HGQ15" s="518"/>
      <c r="HGR15" s="518"/>
      <c r="HGS15" s="518"/>
      <c r="HGT15" s="518"/>
      <c r="HGU15" s="518"/>
      <c r="HGV15" s="518"/>
      <c r="HGW15" s="518"/>
      <c r="HGX15" s="518"/>
      <c r="HGY15" s="518"/>
      <c r="HGZ15" s="518"/>
      <c r="HHA15" s="518"/>
      <c r="HHB15" s="518"/>
      <c r="HHC15" s="518"/>
      <c r="HHD15" s="518"/>
      <c r="HHE15" s="518"/>
      <c r="HHF15" s="518"/>
      <c r="HHG15" s="518"/>
      <c r="HHH15" s="518"/>
      <c r="HHI15" s="518"/>
      <c r="HHJ15" s="518"/>
      <c r="HHK15" s="518"/>
      <c r="HHL15" s="518"/>
      <c r="HHM15" s="518"/>
      <c r="HHN15" s="518"/>
      <c r="HHO15" s="518"/>
      <c r="HHP15" s="518"/>
      <c r="HHQ15" s="518"/>
      <c r="HHR15" s="518"/>
      <c r="HHS15" s="518"/>
      <c r="HHT15" s="518"/>
      <c r="HHU15" s="518"/>
      <c r="HHV15" s="518"/>
      <c r="HHW15" s="518"/>
      <c r="HHX15" s="518"/>
      <c r="HHY15" s="518"/>
      <c r="HHZ15" s="518"/>
      <c r="HIA15" s="518"/>
      <c r="HIB15" s="518"/>
      <c r="HIC15" s="518"/>
      <c r="HID15" s="518"/>
      <c r="HIE15" s="518"/>
      <c r="HIF15" s="518"/>
      <c r="HIG15" s="518"/>
      <c r="HIH15" s="518"/>
      <c r="HII15" s="518"/>
      <c r="HIJ15" s="518"/>
      <c r="HIK15" s="518"/>
      <c r="HIL15" s="518"/>
      <c r="HIM15" s="518"/>
      <c r="HIN15" s="518"/>
      <c r="HIO15" s="518"/>
      <c r="HIP15" s="518"/>
      <c r="HIQ15" s="518"/>
      <c r="HIR15" s="518"/>
      <c r="HIS15" s="518"/>
      <c r="HIT15" s="518"/>
      <c r="HIU15" s="518"/>
      <c r="HIV15" s="518"/>
      <c r="HIW15" s="518"/>
      <c r="HIX15" s="518"/>
      <c r="HIY15" s="518"/>
      <c r="HIZ15" s="518"/>
      <c r="HJA15" s="518"/>
      <c r="HJB15" s="518"/>
      <c r="HJC15" s="518"/>
      <c r="HJD15" s="518"/>
      <c r="HJE15" s="518"/>
      <c r="HJF15" s="518"/>
      <c r="HJG15" s="518"/>
      <c r="HJH15" s="518"/>
      <c r="HJI15" s="518"/>
      <c r="HJJ15" s="518"/>
      <c r="HJK15" s="518"/>
      <c r="HJL15" s="518"/>
      <c r="HJM15" s="518"/>
      <c r="HJN15" s="518"/>
      <c r="HJO15" s="518"/>
      <c r="HJP15" s="518"/>
      <c r="HJQ15" s="518"/>
      <c r="HJR15" s="518"/>
      <c r="HJS15" s="518"/>
      <c r="HJT15" s="518"/>
      <c r="HJU15" s="518"/>
      <c r="HJV15" s="518"/>
      <c r="HJW15" s="518"/>
      <c r="HJX15" s="518"/>
      <c r="HJY15" s="518"/>
      <c r="HJZ15" s="518"/>
      <c r="HKA15" s="518"/>
      <c r="HKB15" s="518"/>
      <c r="HKC15" s="518"/>
      <c r="HKD15" s="518"/>
      <c r="HKE15" s="518"/>
      <c r="HKF15" s="518"/>
      <c r="HKG15" s="518"/>
      <c r="HKH15" s="518"/>
      <c r="HKI15" s="518"/>
      <c r="HKJ15" s="518"/>
      <c r="HKK15" s="518"/>
      <c r="HKL15" s="518"/>
      <c r="HKM15" s="518"/>
      <c r="HKN15" s="518"/>
      <c r="HKO15" s="518"/>
      <c r="HKP15" s="518"/>
      <c r="HKQ15" s="518"/>
      <c r="HKR15" s="518"/>
      <c r="HKS15" s="518"/>
      <c r="HKT15" s="518"/>
      <c r="HKU15" s="518"/>
      <c r="HKV15" s="518"/>
      <c r="HKW15" s="518"/>
      <c r="HKX15" s="518"/>
      <c r="HKY15" s="518"/>
      <c r="HKZ15" s="518"/>
      <c r="HLA15" s="518"/>
      <c r="HLB15" s="518"/>
      <c r="HLC15" s="518"/>
      <c r="HLD15" s="518"/>
      <c r="HLE15" s="518"/>
      <c r="HLF15" s="518"/>
      <c r="HLG15" s="518"/>
      <c r="HLH15" s="518"/>
      <c r="HLI15" s="518"/>
      <c r="HLJ15" s="518"/>
      <c r="HLK15" s="518"/>
      <c r="HLL15" s="518"/>
      <c r="HLM15" s="518"/>
      <c r="HLN15" s="518"/>
      <c r="HLO15" s="518"/>
      <c r="HLP15" s="518"/>
      <c r="HLQ15" s="518"/>
      <c r="HLR15" s="518"/>
      <c r="HLS15" s="518"/>
      <c r="HLT15" s="518"/>
      <c r="HLU15" s="518"/>
      <c r="HLV15" s="518"/>
      <c r="HLW15" s="518"/>
      <c r="HLX15" s="518"/>
      <c r="HLY15" s="518"/>
      <c r="HLZ15" s="518"/>
      <c r="HMA15" s="518"/>
      <c r="HMB15" s="518"/>
      <c r="HMC15" s="518"/>
      <c r="HMD15" s="518"/>
      <c r="HME15" s="518"/>
      <c r="HMF15" s="518"/>
      <c r="HMG15" s="518"/>
      <c r="HMH15" s="518"/>
      <c r="HMI15" s="518"/>
      <c r="HMJ15" s="518"/>
      <c r="HMK15" s="518"/>
      <c r="HML15" s="518"/>
      <c r="HMM15" s="518"/>
      <c r="HMN15" s="518"/>
      <c r="HMO15" s="518"/>
      <c r="HMP15" s="518"/>
      <c r="HMQ15" s="518"/>
      <c r="HMR15" s="518"/>
      <c r="HMS15" s="518"/>
      <c r="HMT15" s="518"/>
      <c r="HMU15" s="518"/>
      <c r="HMV15" s="518"/>
      <c r="HMW15" s="518"/>
      <c r="HMX15" s="518"/>
      <c r="HMY15" s="518"/>
      <c r="HMZ15" s="518"/>
      <c r="HNA15" s="518"/>
      <c r="HNB15" s="518"/>
      <c r="HNC15" s="518"/>
      <c r="HND15" s="518"/>
      <c r="HNE15" s="518"/>
      <c r="HNF15" s="518"/>
      <c r="HNG15" s="518"/>
      <c r="HNH15" s="518"/>
      <c r="HNI15" s="518"/>
      <c r="HNJ15" s="518"/>
      <c r="HNK15" s="518"/>
      <c r="HNL15" s="518"/>
      <c r="HNM15" s="518"/>
      <c r="HNN15" s="518"/>
      <c r="HNO15" s="518"/>
      <c r="HNP15" s="518"/>
      <c r="HNQ15" s="518"/>
      <c r="HNR15" s="518"/>
      <c r="HNS15" s="518"/>
      <c r="HNT15" s="518"/>
      <c r="HNU15" s="518"/>
      <c r="HNV15" s="518"/>
      <c r="HNW15" s="518"/>
      <c r="HNX15" s="518"/>
      <c r="HNY15" s="518"/>
      <c r="HNZ15" s="518"/>
      <c r="HOA15" s="518"/>
      <c r="HOB15" s="518"/>
      <c r="HOC15" s="518"/>
      <c r="HOD15" s="518"/>
      <c r="HOE15" s="518"/>
      <c r="HOF15" s="518"/>
      <c r="HOG15" s="518"/>
      <c r="HOH15" s="518"/>
      <c r="HOI15" s="518"/>
      <c r="HOJ15" s="518"/>
      <c r="HOK15" s="518"/>
      <c r="HOL15" s="518"/>
      <c r="HOM15" s="518"/>
      <c r="HON15" s="518"/>
      <c r="HOO15" s="518"/>
      <c r="HOP15" s="518"/>
      <c r="HOQ15" s="518"/>
      <c r="HOR15" s="518"/>
      <c r="HOS15" s="518"/>
      <c r="HOT15" s="518"/>
      <c r="HOU15" s="518"/>
      <c r="HOV15" s="518"/>
      <c r="HOW15" s="518"/>
      <c r="HOX15" s="518"/>
      <c r="HOY15" s="518"/>
      <c r="HOZ15" s="518"/>
      <c r="HPA15" s="518"/>
      <c r="HPB15" s="518"/>
      <c r="HPC15" s="518"/>
      <c r="HPD15" s="518"/>
      <c r="HPE15" s="518"/>
      <c r="HPF15" s="518"/>
      <c r="HPG15" s="518"/>
      <c r="HPH15" s="518"/>
      <c r="HPI15" s="518"/>
      <c r="HPJ15" s="518"/>
      <c r="HPK15" s="518"/>
      <c r="HPL15" s="518"/>
      <c r="HPM15" s="518"/>
      <c r="HPN15" s="518"/>
      <c r="HPO15" s="518"/>
      <c r="HPP15" s="518"/>
      <c r="HPQ15" s="518"/>
      <c r="HPR15" s="518"/>
      <c r="HPS15" s="518"/>
      <c r="HPT15" s="518"/>
      <c r="HPU15" s="518"/>
      <c r="HPV15" s="518"/>
      <c r="HPW15" s="518"/>
      <c r="HPX15" s="518"/>
      <c r="HPY15" s="518"/>
      <c r="HPZ15" s="518"/>
      <c r="HQA15" s="518"/>
      <c r="HQB15" s="518"/>
      <c r="HQC15" s="518"/>
      <c r="HQD15" s="518"/>
      <c r="HQE15" s="518"/>
      <c r="HQF15" s="518"/>
      <c r="HQG15" s="518"/>
      <c r="HQH15" s="518"/>
      <c r="HQI15" s="518"/>
      <c r="HQJ15" s="518"/>
      <c r="HQK15" s="518"/>
      <c r="HQL15" s="518"/>
      <c r="HQM15" s="518"/>
      <c r="HQN15" s="518"/>
      <c r="HQO15" s="518"/>
      <c r="HQP15" s="518"/>
      <c r="HQQ15" s="518"/>
      <c r="HQR15" s="518"/>
      <c r="HQS15" s="518"/>
      <c r="HQT15" s="518"/>
      <c r="HQU15" s="518"/>
      <c r="HQV15" s="518"/>
      <c r="HQW15" s="518"/>
      <c r="HQX15" s="518"/>
      <c r="HQY15" s="518"/>
      <c r="HQZ15" s="518"/>
      <c r="HRA15" s="518"/>
      <c r="HRB15" s="518"/>
      <c r="HRC15" s="518"/>
      <c r="HRD15" s="518"/>
      <c r="HRE15" s="518"/>
      <c r="HRF15" s="518"/>
      <c r="HRG15" s="518"/>
      <c r="HRH15" s="518"/>
      <c r="HRI15" s="518"/>
      <c r="HRJ15" s="518"/>
      <c r="HRK15" s="518"/>
      <c r="HRL15" s="518"/>
      <c r="HRM15" s="518"/>
      <c r="HRN15" s="518"/>
      <c r="HRO15" s="518"/>
      <c r="HRP15" s="518"/>
      <c r="HRQ15" s="518"/>
      <c r="HRR15" s="518"/>
      <c r="HRS15" s="518"/>
      <c r="HRT15" s="518"/>
      <c r="HRU15" s="518"/>
      <c r="HRV15" s="518"/>
      <c r="HRW15" s="518"/>
      <c r="HRX15" s="518"/>
      <c r="HRY15" s="518"/>
      <c r="HRZ15" s="518"/>
      <c r="HSA15" s="518"/>
      <c r="HSB15" s="518"/>
      <c r="HSC15" s="518"/>
      <c r="HSD15" s="518"/>
      <c r="HSE15" s="518"/>
      <c r="HSF15" s="518"/>
      <c r="HSG15" s="518"/>
      <c r="HSH15" s="518"/>
      <c r="HSI15" s="518"/>
      <c r="HSJ15" s="518"/>
      <c r="HSK15" s="518"/>
      <c r="HSL15" s="518"/>
      <c r="HSM15" s="518"/>
      <c r="HSN15" s="518"/>
      <c r="HSO15" s="518"/>
      <c r="HSP15" s="518"/>
      <c r="HSQ15" s="518"/>
      <c r="HSR15" s="518"/>
      <c r="HSS15" s="518"/>
      <c r="HST15" s="518"/>
      <c r="HSU15" s="518"/>
      <c r="HSV15" s="518"/>
      <c r="HSW15" s="518"/>
      <c r="HSX15" s="518"/>
      <c r="HSY15" s="518"/>
      <c r="HSZ15" s="518"/>
      <c r="HTA15" s="518"/>
      <c r="HTB15" s="518"/>
      <c r="HTC15" s="518"/>
      <c r="HTD15" s="518"/>
      <c r="HTE15" s="518"/>
      <c r="HTF15" s="518"/>
      <c r="HTG15" s="518"/>
      <c r="HTH15" s="518"/>
      <c r="HTI15" s="518"/>
      <c r="HTJ15" s="518"/>
      <c r="HTK15" s="518"/>
      <c r="HTL15" s="518"/>
      <c r="HTM15" s="518"/>
      <c r="HTN15" s="518"/>
      <c r="HTO15" s="518"/>
      <c r="HTP15" s="518"/>
      <c r="HTQ15" s="518"/>
      <c r="HTR15" s="518"/>
      <c r="HTS15" s="518"/>
      <c r="HTT15" s="518"/>
      <c r="HTU15" s="518"/>
      <c r="HTV15" s="518"/>
      <c r="HTW15" s="518"/>
      <c r="HTX15" s="518"/>
      <c r="HTY15" s="518"/>
      <c r="HTZ15" s="518"/>
      <c r="HUA15" s="518"/>
      <c r="HUB15" s="518"/>
      <c r="HUC15" s="518"/>
      <c r="HUD15" s="518"/>
      <c r="HUE15" s="518"/>
      <c r="HUF15" s="518"/>
      <c r="HUG15" s="518"/>
      <c r="HUH15" s="518"/>
      <c r="HUI15" s="518"/>
      <c r="HUJ15" s="518"/>
      <c r="HUK15" s="518"/>
      <c r="HUL15" s="518"/>
      <c r="HUM15" s="518"/>
      <c r="HUN15" s="518"/>
      <c r="HUO15" s="518"/>
      <c r="HUP15" s="518"/>
      <c r="HUQ15" s="518"/>
      <c r="HUR15" s="518"/>
      <c r="HUS15" s="518"/>
      <c r="HUT15" s="518"/>
      <c r="HUU15" s="518"/>
      <c r="HUV15" s="518"/>
      <c r="HUW15" s="518"/>
      <c r="HUX15" s="518"/>
      <c r="HUY15" s="518"/>
      <c r="HUZ15" s="518"/>
      <c r="HVA15" s="518"/>
      <c r="HVB15" s="518"/>
      <c r="HVC15" s="518"/>
      <c r="HVD15" s="518"/>
      <c r="HVE15" s="518"/>
      <c r="HVF15" s="518"/>
      <c r="HVG15" s="518"/>
      <c r="HVH15" s="518"/>
      <c r="HVI15" s="518"/>
      <c r="HVJ15" s="518"/>
      <c r="HVK15" s="518"/>
      <c r="HVL15" s="518"/>
      <c r="HVM15" s="518"/>
      <c r="HVN15" s="518"/>
      <c r="HVO15" s="518"/>
      <c r="HVP15" s="518"/>
      <c r="HVQ15" s="518"/>
      <c r="HVR15" s="518"/>
      <c r="HVS15" s="518"/>
      <c r="HVT15" s="518"/>
      <c r="HVU15" s="518"/>
      <c r="HVV15" s="518"/>
      <c r="HVW15" s="518"/>
      <c r="HVX15" s="518"/>
      <c r="HVY15" s="518"/>
      <c r="HVZ15" s="518"/>
      <c r="HWA15" s="518"/>
      <c r="HWB15" s="518"/>
      <c r="HWC15" s="518"/>
      <c r="HWD15" s="518"/>
      <c r="HWE15" s="518"/>
      <c r="HWF15" s="518"/>
      <c r="HWG15" s="518"/>
      <c r="HWH15" s="518"/>
      <c r="HWI15" s="518"/>
      <c r="HWJ15" s="518"/>
      <c r="HWK15" s="518"/>
      <c r="HWL15" s="518"/>
      <c r="HWM15" s="518"/>
      <c r="HWN15" s="518"/>
      <c r="HWO15" s="518"/>
      <c r="HWP15" s="518"/>
      <c r="HWQ15" s="518"/>
      <c r="HWR15" s="518"/>
      <c r="HWS15" s="518"/>
      <c r="HWT15" s="518"/>
      <c r="HWU15" s="518"/>
      <c r="HWV15" s="518"/>
      <c r="HWW15" s="518"/>
      <c r="HWX15" s="518"/>
      <c r="HWY15" s="518"/>
      <c r="HWZ15" s="518"/>
      <c r="HXA15" s="518"/>
      <c r="HXB15" s="518"/>
      <c r="HXC15" s="518"/>
      <c r="HXD15" s="518"/>
      <c r="HXE15" s="518"/>
      <c r="HXF15" s="518"/>
      <c r="HXG15" s="518"/>
      <c r="HXH15" s="518"/>
      <c r="HXI15" s="518"/>
      <c r="HXJ15" s="518"/>
      <c r="HXK15" s="518"/>
      <c r="HXL15" s="518"/>
      <c r="HXM15" s="518"/>
      <c r="HXN15" s="518"/>
      <c r="HXO15" s="518"/>
      <c r="HXP15" s="518"/>
      <c r="HXQ15" s="518"/>
      <c r="HXR15" s="518"/>
      <c r="HXS15" s="518"/>
      <c r="HXT15" s="518"/>
      <c r="HXU15" s="518"/>
      <c r="HXV15" s="518"/>
      <c r="HXW15" s="518"/>
      <c r="HXX15" s="518"/>
      <c r="HXY15" s="518"/>
      <c r="HXZ15" s="518"/>
      <c r="HYA15" s="518"/>
      <c r="HYB15" s="518"/>
      <c r="HYC15" s="518"/>
      <c r="HYD15" s="518"/>
      <c r="HYE15" s="518"/>
      <c r="HYF15" s="518"/>
      <c r="HYG15" s="518"/>
      <c r="HYH15" s="518"/>
      <c r="HYI15" s="518"/>
      <c r="HYJ15" s="518"/>
      <c r="HYK15" s="518"/>
      <c r="HYL15" s="518"/>
      <c r="HYM15" s="518"/>
      <c r="HYN15" s="518"/>
      <c r="HYO15" s="518"/>
      <c r="HYP15" s="518"/>
      <c r="HYQ15" s="518"/>
      <c r="HYR15" s="518"/>
      <c r="HYS15" s="518"/>
      <c r="HYT15" s="518"/>
      <c r="HYU15" s="518"/>
      <c r="HYV15" s="518"/>
      <c r="HYW15" s="518"/>
      <c r="HYX15" s="518"/>
      <c r="HYY15" s="518"/>
      <c r="HYZ15" s="518"/>
      <c r="HZA15" s="518"/>
      <c r="HZB15" s="518"/>
      <c r="HZC15" s="518"/>
      <c r="HZD15" s="518"/>
      <c r="HZE15" s="518"/>
      <c r="HZF15" s="518"/>
      <c r="HZG15" s="518"/>
      <c r="HZH15" s="518"/>
      <c r="HZI15" s="518"/>
      <c r="HZJ15" s="518"/>
      <c r="HZK15" s="518"/>
      <c r="HZL15" s="518"/>
      <c r="HZM15" s="518"/>
      <c r="HZN15" s="518"/>
      <c r="HZO15" s="518"/>
      <c r="HZP15" s="518"/>
      <c r="HZQ15" s="518"/>
      <c r="HZR15" s="518"/>
      <c r="HZS15" s="518"/>
      <c r="HZT15" s="518"/>
      <c r="HZU15" s="518"/>
      <c r="HZV15" s="518"/>
      <c r="HZW15" s="518"/>
      <c r="HZX15" s="518"/>
      <c r="HZY15" s="518"/>
      <c r="HZZ15" s="518"/>
      <c r="IAA15" s="518"/>
      <c r="IAB15" s="518"/>
      <c r="IAC15" s="518"/>
      <c r="IAD15" s="518"/>
      <c r="IAE15" s="518"/>
      <c r="IAF15" s="518"/>
      <c r="IAG15" s="518"/>
      <c r="IAH15" s="518"/>
      <c r="IAI15" s="518"/>
      <c r="IAJ15" s="518"/>
      <c r="IAK15" s="518"/>
      <c r="IAL15" s="518"/>
      <c r="IAM15" s="518"/>
      <c r="IAN15" s="518"/>
      <c r="IAO15" s="518"/>
      <c r="IAP15" s="518"/>
      <c r="IAQ15" s="518"/>
      <c r="IAR15" s="518"/>
      <c r="IAS15" s="518"/>
      <c r="IAT15" s="518"/>
      <c r="IAU15" s="518"/>
      <c r="IAV15" s="518"/>
      <c r="IAW15" s="518"/>
      <c r="IAX15" s="518"/>
      <c r="IAY15" s="518"/>
      <c r="IAZ15" s="518"/>
      <c r="IBA15" s="518"/>
      <c r="IBB15" s="518"/>
      <c r="IBC15" s="518"/>
      <c r="IBD15" s="518"/>
      <c r="IBE15" s="518"/>
      <c r="IBF15" s="518"/>
      <c r="IBG15" s="518"/>
      <c r="IBH15" s="518"/>
      <c r="IBI15" s="518"/>
      <c r="IBJ15" s="518"/>
      <c r="IBK15" s="518"/>
      <c r="IBL15" s="518"/>
      <c r="IBM15" s="518"/>
      <c r="IBN15" s="518"/>
      <c r="IBO15" s="518"/>
      <c r="IBP15" s="518"/>
      <c r="IBQ15" s="518"/>
      <c r="IBR15" s="518"/>
      <c r="IBS15" s="518"/>
      <c r="IBT15" s="518"/>
      <c r="IBU15" s="518"/>
      <c r="IBV15" s="518"/>
      <c r="IBW15" s="518"/>
      <c r="IBX15" s="518"/>
      <c r="IBY15" s="518"/>
      <c r="IBZ15" s="518"/>
      <c r="ICA15" s="518"/>
      <c r="ICB15" s="518"/>
      <c r="ICC15" s="518"/>
      <c r="ICD15" s="518"/>
      <c r="ICE15" s="518"/>
      <c r="ICF15" s="518"/>
      <c r="ICG15" s="518"/>
      <c r="ICH15" s="518"/>
      <c r="ICI15" s="518"/>
      <c r="ICJ15" s="518"/>
      <c r="ICK15" s="518"/>
      <c r="ICL15" s="518"/>
      <c r="ICM15" s="518"/>
      <c r="ICN15" s="518"/>
      <c r="ICO15" s="518"/>
      <c r="ICP15" s="518"/>
      <c r="ICQ15" s="518"/>
      <c r="ICR15" s="518"/>
      <c r="ICS15" s="518"/>
      <c r="ICT15" s="518"/>
      <c r="ICU15" s="518"/>
      <c r="ICV15" s="518"/>
      <c r="ICW15" s="518"/>
      <c r="ICX15" s="518"/>
      <c r="ICY15" s="518"/>
      <c r="ICZ15" s="518"/>
      <c r="IDA15" s="518"/>
      <c r="IDB15" s="518"/>
      <c r="IDC15" s="518"/>
      <c r="IDD15" s="518"/>
      <c r="IDE15" s="518"/>
      <c r="IDF15" s="518"/>
      <c r="IDG15" s="518"/>
      <c r="IDH15" s="518"/>
      <c r="IDI15" s="518"/>
      <c r="IDJ15" s="518"/>
      <c r="IDK15" s="518"/>
      <c r="IDL15" s="518"/>
      <c r="IDM15" s="518"/>
      <c r="IDN15" s="518"/>
      <c r="IDO15" s="518"/>
      <c r="IDP15" s="518"/>
      <c r="IDQ15" s="518"/>
      <c r="IDR15" s="518"/>
      <c r="IDS15" s="518"/>
      <c r="IDT15" s="518"/>
      <c r="IDU15" s="518"/>
      <c r="IDV15" s="518"/>
      <c r="IDW15" s="518"/>
      <c r="IDX15" s="518"/>
      <c r="IDY15" s="518"/>
      <c r="IDZ15" s="518"/>
      <c r="IEA15" s="518"/>
      <c r="IEB15" s="518"/>
      <c r="IEC15" s="518"/>
      <c r="IED15" s="518"/>
      <c r="IEE15" s="518"/>
      <c r="IEF15" s="518"/>
      <c r="IEG15" s="518"/>
      <c r="IEH15" s="518"/>
      <c r="IEI15" s="518"/>
      <c r="IEJ15" s="518"/>
      <c r="IEK15" s="518"/>
      <c r="IEL15" s="518"/>
      <c r="IEM15" s="518"/>
      <c r="IEN15" s="518"/>
      <c r="IEO15" s="518"/>
      <c r="IEP15" s="518"/>
      <c r="IEQ15" s="518"/>
      <c r="IER15" s="518"/>
      <c r="IES15" s="518"/>
      <c r="IET15" s="518"/>
      <c r="IEU15" s="518"/>
      <c r="IEV15" s="518"/>
      <c r="IEW15" s="518"/>
      <c r="IEX15" s="518"/>
      <c r="IEY15" s="518"/>
      <c r="IEZ15" s="518"/>
      <c r="IFA15" s="518"/>
      <c r="IFB15" s="518"/>
      <c r="IFC15" s="518"/>
      <c r="IFD15" s="518"/>
      <c r="IFE15" s="518"/>
      <c r="IFF15" s="518"/>
      <c r="IFG15" s="518"/>
      <c r="IFH15" s="518"/>
      <c r="IFI15" s="518"/>
      <c r="IFJ15" s="518"/>
      <c r="IFK15" s="518"/>
      <c r="IFL15" s="518"/>
      <c r="IFM15" s="518"/>
      <c r="IFN15" s="518"/>
      <c r="IFO15" s="518"/>
      <c r="IFP15" s="518"/>
      <c r="IFQ15" s="518"/>
      <c r="IFR15" s="518"/>
      <c r="IFS15" s="518"/>
      <c r="IFT15" s="518"/>
      <c r="IFU15" s="518"/>
      <c r="IFV15" s="518"/>
      <c r="IFW15" s="518"/>
      <c r="IFX15" s="518"/>
      <c r="IFY15" s="518"/>
      <c r="IFZ15" s="518"/>
      <c r="IGA15" s="518"/>
      <c r="IGB15" s="518"/>
      <c r="IGC15" s="518"/>
      <c r="IGD15" s="518"/>
      <c r="IGE15" s="518"/>
      <c r="IGF15" s="518"/>
      <c r="IGG15" s="518"/>
      <c r="IGH15" s="518"/>
      <c r="IGI15" s="518"/>
      <c r="IGJ15" s="518"/>
      <c r="IGK15" s="518"/>
      <c r="IGL15" s="518"/>
      <c r="IGM15" s="518"/>
      <c r="IGN15" s="518"/>
      <c r="IGO15" s="518"/>
      <c r="IGP15" s="518"/>
      <c r="IGQ15" s="518"/>
      <c r="IGR15" s="518"/>
      <c r="IGS15" s="518"/>
      <c r="IGT15" s="518"/>
      <c r="IGU15" s="518"/>
      <c r="IGV15" s="518"/>
      <c r="IGW15" s="518"/>
      <c r="IGX15" s="518"/>
      <c r="IGY15" s="518"/>
      <c r="IGZ15" s="518"/>
      <c r="IHA15" s="518"/>
      <c r="IHB15" s="518"/>
      <c r="IHC15" s="518"/>
      <c r="IHD15" s="518"/>
      <c r="IHE15" s="518"/>
      <c r="IHF15" s="518"/>
      <c r="IHG15" s="518"/>
      <c r="IHH15" s="518"/>
      <c r="IHI15" s="518"/>
      <c r="IHJ15" s="518"/>
      <c r="IHK15" s="518"/>
      <c r="IHL15" s="518"/>
      <c r="IHM15" s="518"/>
      <c r="IHN15" s="518"/>
      <c r="IHO15" s="518"/>
      <c r="IHP15" s="518"/>
      <c r="IHQ15" s="518"/>
      <c r="IHR15" s="518"/>
      <c r="IHS15" s="518"/>
      <c r="IHT15" s="518"/>
      <c r="IHU15" s="518"/>
      <c r="IHV15" s="518"/>
      <c r="IHW15" s="518"/>
      <c r="IHX15" s="518"/>
      <c r="IHY15" s="518"/>
      <c r="IHZ15" s="518"/>
      <c r="IIA15" s="518"/>
      <c r="IIB15" s="518"/>
      <c r="IIC15" s="518"/>
      <c r="IID15" s="518"/>
      <c r="IIE15" s="518"/>
      <c r="IIF15" s="518"/>
      <c r="IIG15" s="518"/>
      <c r="IIH15" s="518"/>
      <c r="III15" s="518"/>
      <c r="IIJ15" s="518"/>
      <c r="IIK15" s="518"/>
      <c r="IIL15" s="518"/>
      <c r="IIM15" s="518"/>
      <c r="IIN15" s="518"/>
      <c r="IIO15" s="518"/>
      <c r="IIP15" s="518"/>
      <c r="IIQ15" s="518"/>
      <c r="IIR15" s="518"/>
      <c r="IIS15" s="518"/>
      <c r="IIT15" s="518"/>
      <c r="IIU15" s="518"/>
      <c r="IIV15" s="518"/>
      <c r="IIW15" s="518"/>
      <c r="IIX15" s="518"/>
      <c r="IIY15" s="518"/>
      <c r="IIZ15" s="518"/>
      <c r="IJA15" s="518"/>
      <c r="IJB15" s="518"/>
      <c r="IJC15" s="518"/>
      <c r="IJD15" s="518"/>
      <c r="IJE15" s="518"/>
      <c r="IJF15" s="518"/>
      <c r="IJG15" s="518"/>
      <c r="IJH15" s="518"/>
      <c r="IJI15" s="518"/>
      <c r="IJJ15" s="518"/>
      <c r="IJK15" s="518"/>
      <c r="IJL15" s="518"/>
      <c r="IJM15" s="518"/>
      <c r="IJN15" s="518"/>
      <c r="IJO15" s="518"/>
      <c r="IJP15" s="518"/>
      <c r="IJQ15" s="518"/>
      <c r="IJR15" s="518"/>
      <c r="IJS15" s="518"/>
      <c r="IJT15" s="518"/>
      <c r="IJU15" s="518"/>
      <c r="IJV15" s="518"/>
      <c r="IJW15" s="518"/>
      <c r="IJX15" s="518"/>
      <c r="IJY15" s="518"/>
      <c r="IJZ15" s="518"/>
      <c r="IKA15" s="518"/>
      <c r="IKB15" s="518"/>
      <c r="IKC15" s="518"/>
      <c r="IKD15" s="518"/>
      <c r="IKE15" s="518"/>
      <c r="IKF15" s="518"/>
      <c r="IKG15" s="518"/>
      <c r="IKH15" s="518"/>
      <c r="IKI15" s="518"/>
      <c r="IKJ15" s="518"/>
      <c r="IKK15" s="518"/>
      <c r="IKL15" s="518"/>
      <c r="IKM15" s="518"/>
      <c r="IKN15" s="518"/>
      <c r="IKO15" s="518"/>
      <c r="IKP15" s="518"/>
      <c r="IKQ15" s="518"/>
      <c r="IKR15" s="518"/>
      <c r="IKS15" s="518"/>
      <c r="IKT15" s="518"/>
      <c r="IKU15" s="518"/>
      <c r="IKV15" s="518"/>
      <c r="IKW15" s="518"/>
      <c r="IKX15" s="518"/>
      <c r="IKY15" s="518"/>
      <c r="IKZ15" s="518"/>
      <c r="ILA15" s="518"/>
      <c r="ILB15" s="518"/>
      <c r="ILC15" s="518"/>
      <c r="ILD15" s="518"/>
      <c r="ILE15" s="518"/>
      <c r="ILF15" s="518"/>
      <c r="ILG15" s="518"/>
      <c r="ILH15" s="518"/>
      <c r="ILI15" s="518"/>
      <c r="ILJ15" s="518"/>
      <c r="ILK15" s="518"/>
      <c r="ILL15" s="518"/>
      <c r="ILM15" s="518"/>
      <c r="ILN15" s="518"/>
      <c r="ILO15" s="518"/>
      <c r="ILP15" s="518"/>
      <c r="ILQ15" s="518"/>
      <c r="ILR15" s="518"/>
      <c r="ILS15" s="518"/>
      <c r="ILT15" s="518"/>
      <c r="ILU15" s="518"/>
      <c r="ILV15" s="518"/>
      <c r="ILW15" s="518"/>
      <c r="ILX15" s="518"/>
      <c r="ILY15" s="518"/>
      <c r="ILZ15" s="518"/>
      <c r="IMA15" s="518"/>
      <c r="IMB15" s="518"/>
      <c r="IMC15" s="518"/>
      <c r="IMD15" s="518"/>
      <c r="IME15" s="518"/>
      <c r="IMF15" s="518"/>
      <c r="IMG15" s="518"/>
      <c r="IMH15" s="518"/>
      <c r="IMI15" s="518"/>
      <c r="IMJ15" s="518"/>
      <c r="IMK15" s="518"/>
      <c r="IML15" s="518"/>
      <c r="IMM15" s="518"/>
      <c r="IMN15" s="518"/>
      <c r="IMO15" s="518"/>
      <c r="IMP15" s="518"/>
      <c r="IMQ15" s="518"/>
      <c r="IMR15" s="518"/>
      <c r="IMS15" s="518"/>
      <c r="IMT15" s="518"/>
      <c r="IMU15" s="518"/>
      <c r="IMV15" s="518"/>
      <c r="IMW15" s="518"/>
      <c r="IMX15" s="518"/>
      <c r="IMY15" s="518"/>
      <c r="IMZ15" s="518"/>
      <c r="INA15" s="518"/>
      <c r="INB15" s="518"/>
      <c r="INC15" s="518"/>
      <c r="IND15" s="518"/>
      <c r="INE15" s="518"/>
      <c r="INF15" s="518"/>
      <c r="ING15" s="518"/>
      <c r="INH15" s="518"/>
      <c r="INI15" s="518"/>
      <c r="INJ15" s="518"/>
      <c r="INK15" s="518"/>
      <c r="INL15" s="518"/>
      <c r="INM15" s="518"/>
      <c r="INN15" s="518"/>
      <c r="INO15" s="518"/>
      <c r="INP15" s="518"/>
      <c r="INQ15" s="518"/>
      <c r="INR15" s="518"/>
      <c r="INS15" s="518"/>
      <c r="INT15" s="518"/>
      <c r="INU15" s="518"/>
      <c r="INV15" s="518"/>
      <c r="INW15" s="518"/>
      <c r="INX15" s="518"/>
      <c r="INY15" s="518"/>
      <c r="INZ15" s="518"/>
      <c r="IOA15" s="518"/>
      <c r="IOB15" s="518"/>
      <c r="IOC15" s="518"/>
      <c r="IOD15" s="518"/>
      <c r="IOE15" s="518"/>
      <c r="IOF15" s="518"/>
      <c r="IOG15" s="518"/>
      <c r="IOH15" s="518"/>
      <c r="IOI15" s="518"/>
      <c r="IOJ15" s="518"/>
      <c r="IOK15" s="518"/>
      <c r="IOL15" s="518"/>
      <c r="IOM15" s="518"/>
      <c r="ION15" s="518"/>
      <c r="IOO15" s="518"/>
      <c r="IOP15" s="518"/>
      <c r="IOQ15" s="518"/>
      <c r="IOR15" s="518"/>
      <c r="IOS15" s="518"/>
      <c r="IOT15" s="518"/>
      <c r="IOU15" s="518"/>
      <c r="IOV15" s="518"/>
      <c r="IOW15" s="518"/>
      <c r="IOX15" s="518"/>
      <c r="IOY15" s="518"/>
      <c r="IOZ15" s="518"/>
      <c r="IPA15" s="518"/>
      <c r="IPB15" s="518"/>
      <c r="IPC15" s="518"/>
      <c r="IPD15" s="518"/>
      <c r="IPE15" s="518"/>
      <c r="IPF15" s="518"/>
      <c r="IPG15" s="518"/>
      <c r="IPH15" s="518"/>
      <c r="IPI15" s="518"/>
      <c r="IPJ15" s="518"/>
      <c r="IPK15" s="518"/>
      <c r="IPL15" s="518"/>
      <c r="IPM15" s="518"/>
      <c r="IPN15" s="518"/>
      <c r="IPO15" s="518"/>
      <c r="IPP15" s="518"/>
      <c r="IPQ15" s="518"/>
      <c r="IPR15" s="518"/>
      <c r="IPS15" s="518"/>
      <c r="IPT15" s="518"/>
      <c r="IPU15" s="518"/>
      <c r="IPV15" s="518"/>
      <c r="IPW15" s="518"/>
      <c r="IPX15" s="518"/>
      <c r="IPY15" s="518"/>
      <c r="IPZ15" s="518"/>
      <c r="IQA15" s="518"/>
      <c r="IQB15" s="518"/>
      <c r="IQC15" s="518"/>
      <c r="IQD15" s="518"/>
      <c r="IQE15" s="518"/>
      <c r="IQF15" s="518"/>
      <c r="IQG15" s="518"/>
      <c r="IQH15" s="518"/>
      <c r="IQI15" s="518"/>
      <c r="IQJ15" s="518"/>
      <c r="IQK15" s="518"/>
      <c r="IQL15" s="518"/>
      <c r="IQM15" s="518"/>
      <c r="IQN15" s="518"/>
      <c r="IQO15" s="518"/>
      <c r="IQP15" s="518"/>
      <c r="IQQ15" s="518"/>
      <c r="IQR15" s="518"/>
      <c r="IQS15" s="518"/>
      <c r="IQT15" s="518"/>
      <c r="IQU15" s="518"/>
      <c r="IQV15" s="518"/>
      <c r="IQW15" s="518"/>
      <c r="IQX15" s="518"/>
      <c r="IQY15" s="518"/>
      <c r="IQZ15" s="518"/>
      <c r="IRA15" s="518"/>
      <c r="IRB15" s="518"/>
      <c r="IRC15" s="518"/>
      <c r="IRD15" s="518"/>
      <c r="IRE15" s="518"/>
      <c r="IRF15" s="518"/>
      <c r="IRG15" s="518"/>
      <c r="IRH15" s="518"/>
      <c r="IRI15" s="518"/>
      <c r="IRJ15" s="518"/>
      <c r="IRK15" s="518"/>
      <c r="IRL15" s="518"/>
      <c r="IRM15" s="518"/>
      <c r="IRN15" s="518"/>
      <c r="IRO15" s="518"/>
      <c r="IRP15" s="518"/>
      <c r="IRQ15" s="518"/>
      <c r="IRR15" s="518"/>
      <c r="IRS15" s="518"/>
      <c r="IRT15" s="518"/>
      <c r="IRU15" s="518"/>
      <c r="IRV15" s="518"/>
      <c r="IRW15" s="518"/>
      <c r="IRX15" s="518"/>
      <c r="IRY15" s="518"/>
      <c r="IRZ15" s="518"/>
      <c r="ISA15" s="518"/>
      <c r="ISB15" s="518"/>
      <c r="ISC15" s="518"/>
      <c r="ISD15" s="518"/>
      <c r="ISE15" s="518"/>
      <c r="ISF15" s="518"/>
      <c r="ISG15" s="518"/>
      <c r="ISH15" s="518"/>
      <c r="ISI15" s="518"/>
      <c r="ISJ15" s="518"/>
      <c r="ISK15" s="518"/>
      <c r="ISL15" s="518"/>
      <c r="ISM15" s="518"/>
      <c r="ISN15" s="518"/>
      <c r="ISO15" s="518"/>
      <c r="ISP15" s="518"/>
      <c r="ISQ15" s="518"/>
      <c r="ISR15" s="518"/>
      <c r="ISS15" s="518"/>
      <c r="IST15" s="518"/>
      <c r="ISU15" s="518"/>
      <c r="ISV15" s="518"/>
      <c r="ISW15" s="518"/>
      <c r="ISX15" s="518"/>
      <c r="ISY15" s="518"/>
      <c r="ISZ15" s="518"/>
      <c r="ITA15" s="518"/>
      <c r="ITB15" s="518"/>
      <c r="ITC15" s="518"/>
      <c r="ITD15" s="518"/>
      <c r="ITE15" s="518"/>
      <c r="ITF15" s="518"/>
      <c r="ITG15" s="518"/>
      <c r="ITH15" s="518"/>
      <c r="ITI15" s="518"/>
      <c r="ITJ15" s="518"/>
      <c r="ITK15" s="518"/>
      <c r="ITL15" s="518"/>
      <c r="ITM15" s="518"/>
      <c r="ITN15" s="518"/>
      <c r="ITO15" s="518"/>
      <c r="ITP15" s="518"/>
      <c r="ITQ15" s="518"/>
      <c r="ITR15" s="518"/>
      <c r="ITS15" s="518"/>
      <c r="ITT15" s="518"/>
      <c r="ITU15" s="518"/>
      <c r="ITV15" s="518"/>
      <c r="ITW15" s="518"/>
      <c r="ITX15" s="518"/>
      <c r="ITY15" s="518"/>
      <c r="ITZ15" s="518"/>
      <c r="IUA15" s="518"/>
      <c r="IUB15" s="518"/>
      <c r="IUC15" s="518"/>
      <c r="IUD15" s="518"/>
      <c r="IUE15" s="518"/>
      <c r="IUF15" s="518"/>
      <c r="IUG15" s="518"/>
      <c r="IUH15" s="518"/>
      <c r="IUI15" s="518"/>
      <c r="IUJ15" s="518"/>
      <c r="IUK15" s="518"/>
      <c r="IUL15" s="518"/>
      <c r="IUM15" s="518"/>
      <c r="IUN15" s="518"/>
      <c r="IUO15" s="518"/>
      <c r="IUP15" s="518"/>
      <c r="IUQ15" s="518"/>
      <c r="IUR15" s="518"/>
      <c r="IUS15" s="518"/>
      <c r="IUT15" s="518"/>
      <c r="IUU15" s="518"/>
      <c r="IUV15" s="518"/>
      <c r="IUW15" s="518"/>
      <c r="IUX15" s="518"/>
      <c r="IUY15" s="518"/>
      <c r="IUZ15" s="518"/>
      <c r="IVA15" s="518"/>
      <c r="IVB15" s="518"/>
      <c r="IVC15" s="518"/>
      <c r="IVD15" s="518"/>
      <c r="IVE15" s="518"/>
      <c r="IVF15" s="518"/>
      <c r="IVG15" s="518"/>
      <c r="IVH15" s="518"/>
      <c r="IVI15" s="518"/>
      <c r="IVJ15" s="518"/>
      <c r="IVK15" s="518"/>
      <c r="IVL15" s="518"/>
      <c r="IVM15" s="518"/>
      <c r="IVN15" s="518"/>
      <c r="IVO15" s="518"/>
      <c r="IVP15" s="518"/>
      <c r="IVQ15" s="518"/>
      <c r="IVR15" s="518"/>
      <c r="IVS15" s="518"/>
      <c r="IVT15" s="518"/>
      <c r="IVU15" s="518"/>
      <c r="IVV15" s="518"/>
      <c r="IVW15" s="518"/>
      <c r="IVX15" s="518"/>
      <c r="IVY15" s="518"/>
      <c r="IVZ15" s="518"/>
      <c r="IWA15" s="518"/>
      <c r="IWB15" s="518"/>
      <c r="IWC15" s="518"/>
      <c r="IWD15" s="518"/>
      <c r="IWE15" s="518"/>
      <c r="IWF15" s="518"/>
      <c r="IWG15" s="518"/>
      <c r="IWH15" s="518"/>
      <c r="IWI15" s="518"/>
      <c r="IWJ15" s="518"/>
      <c r="IWK15" s="518"/>
      <c r="IWL15" s="518"/>
      <c r="IWM15" s="518"/>
      <c r="IWN15" s="518"/>
      <c r="IWO15" s="518"/>
      <c r="IWP15" s="518"/>
      <c r="IWQ15" s="518"/>
      <c r="IWR15" s="518"/>
      <c r="IWS15" s="518"/>
      <c r="IWT15" s="518"/>
      <c r="IWU15" s="518"/>
      <c r="IWV15" s="518"/>
      <c r="IWW15" s="518"/>
      <c r="IWX15" s="518"/>
      <c r="IWY15" s="518"/>
      <c r="IWZ15" s="518"/>
      <c r="IXA15" s="518"/>
      <c r="IXB15" s="518"/>
      <c r="IXC15" s="518"/>
      <c r="IXD15" s="518"/>
      <c r="IXE15" s="518"/>
      <c r="IXF15" s="518"/>
      <c r="IXG15" s="518"/>
      <c r="IXH15" s="518"/>
      <c r="IXI15" s="518"/>
      <c r="IXJ15" s="518"/>
      <c r="IXK15" s="518"/>
      <c r="IXL15" s="518"/>
      <c r="IXM15" s="518"/>
      <c r="IXN15" s="518"/>
      <c r="IXO15" s="518"/>
      <c r="IXP15" s="518"/>
      <c r="IXQ15" s="518"/>
      <c r="IXR15" s="518"/>
      <c r="IXS15" s="518"/>
      <c r="IXT15" s="518"/>
      <c r="IXU15" s="518"/>
      <c r="IXV15" s="518"/>
      <c r="IXW15" s="518"/>
      <c r="IXX15" s="518"/>
      <c r="IXY15" s="518"/>
      <c r="IXZ15" s="518"/>
      <c r="IYA15" s="518"/>
      <c r="IYB15" s="518"/>
      <c r="IYC15" s="518"/>
      <c r="IYD15" s="518"/>
      <c r="IYE15" s="518"/>
      <c r="IYF15" s="518"/>
      <c r="IYG15" s="518"/>
      <c r="IYH15" s="518"/>
      <c r="IYI15" s="518"/>
      <c r="IYJ15" s="518"/>
      <c r="IYK15" s="518"/>
      <c r="IYL15" s="518"/>
      <c r="IYM15" s="518"/>
      <c r="IYN15" s="518"/>
      <c r="IYO15" s="518"/>
      <c r="IYP15" s="518"/>
      <c r="IYQ15" s="518"/>
      <c r="IYR15" s="518"/>
      <c r="IYS15" s="518"/>
      <c r="IYT15" s="518"/>
      <c r="IYU15" s="518"/>
      <c r="IYV15" s="518"/>
      <c r="IYW15" s="518"/>
      <c r="IYX15" s="518"/>
      <c r="IYY15" s="518"/>
      <c r="IYZ15" s="518"/>
      <c r="IZA15" s="518"/>
      <c r="IZB15" s="518"/>
      <c r="IZC15" s="518"/>
      <c r="IZD15" s="518"/>
      <c r="IZE15" s="518"/>
      <c r="IZF15" s="518"/>
      <c r="IZG15" s="518"/>
      <c r="IZH15" s="518"/>
      <c r="IZI15" s="518"/>
      <c r="IZJ15" s="518"/>
      <c r="IZK15" s="518"/>
      <c r="IZL15" s="518"/>
      <c r="IZM15" s="518"/>
      <c r="IZN15" s="518"/>
      <c r="IZO15" s="518"/>
      <c r="IZP15" s="518"/>
      <c r="IZQ15" s="518"/>
      <c r="IZR15" s="518"/>
      <c r="IZS15" s="518"/>
      <c r="IZT15" s="518"/>
      <c r="IZU15" s="518"/>
      <c r="IZV15" s="518"/>
      <c r="IZW15" s="518"/>
      <c r="IZX15" s="518"/>
      <c r="IZY15" s="518"/>
      <c r="IZZ15" s="518"/>
      <c r="JAA15" s="518"/>
      <c r="JAB15" s="518"/>
      <c r="JAC15" s="518"/>
      <c r="JAD15" s="518"/>
      <c r="JAE15" s="518"/>
      <c r="JAF15" s="518"/>
      <c r="JAG15" s="518"/>
      <c r="JAH15" s="518"/>
      <c r="JAI15" s="518"/>
      <c r="JAJ15" s="518"/>
      <c r="JAK15" s="518"/>
      <c r="JAL15" s="518"/>
      <c r="JAM15" s="518"/>
      <c r="JAN15" s="518"/>
      <c r="JAO15" s="518"/>
      <c r="JAP15" s="518"/>
      <c r="JAQ15" s="518"/>
      <c r="JAR15" s="518"/>
      <c r="JAS15" s="518"/>
      <c r="JAT15" s="518"/>
      <c r="JAU15" s="518"/>
      <c r="JAV15" s="518"/>
      <c r="JAW15" s="518"/>
      <c r="JAX15" s="518"/>
      <c r="JAY15" s="518"/>
      <c r="JAZ15" s="518"/>
      <c r="JBA15" s="518"/>
      <c r="JBB15" s="518"/>
      <c r="JBC15" s="518"/>
      <c r="JBD15" s="518"/>
      <c r="JBE15" s="518"/>
      <c r="JBF15" s="518"/>
      <c r="JBG15" s="518"/>
      <c r="JBH15" s="518"/>
      <c r="JBI15" s="518"/>
      <c r="JBJ15" s="518"/>
      <c r="JBK15" s="518"/>
      <c r="JBL15" s="518"/>
      <c r="JBM15" s="518"/>
      <c r="JBN15" s="518"/>
      <c r="JBO15" s="518"/>
      <c r="JBP15" s="518"/>
      <c r="JBQ15" s="518"/>
      <c r="JBR15" s="518"/>
      <c r="JBS15" s="518"/>
      <c r="JBT15" s="518"/>
      <c r="JBU15" s="518"/>
      <c r="JBV15" s="518"/>
      <c r="JBW15" s="518"/>
      <c r="JBX15" s="518"/>
      <c r="JBY15" s="518"/>
      <c r="JBZ15" s="518"/>
      <c r="JCA15" s="518"/>
      <c r="JCB15" s="518"/>
      <c r="JCC15" s="518"/>
      <c r="JCD15" s="518"/>
      <c r="JCE15" s="518"/>
      <c r="JCF15" s="518"/>
      <c r="JCG15" s="518"/>
      <c r="JCH15" s="518"/>
      <c r="JCI15" s="518"/>
      <c r="JCJ15" s="518"/>
      <c r="JCK15" s="518"/>
      <c r="JCL15" s="518"/>
      <c r="JCM15" s="518"/>
      <c r="JCN15" s="518"/>
      <c r="JCO15" s="518"/>
      <c r="JCP15" s="518"/>
      <c r="JCQ15" s="518"/>
      <c r="JCR15" s="518"/>
      <c r="JCS15" s="518"/>
      <c r="JCT15" s="518"/>
      <c r="JCU15" s="518"/>
      <c r="JCV15" s="518"/>
      <c r="JCW15" s="518"/>
      <c r="JCX15" s="518"/>
      <c r="JCY15" s="518"/>
      <c r="JCZ15" s="518"/>
      <c r="JDA15" s="518"/>
      <c r="JDB15" s="518"/>
      <c r="JDC15" s="518"/>
      <c r="JDD15" s="518"/>
      <c r="JDE15" s="518"/>
      <c r="JDF15" s="518"/>
      <c r="JDG15" s="518"/>
      <c r="JDH15" s="518"/>
      <c r="JDI15" s="518"/>
      <c r="JDJ15" s="518"/>
      <c r="JDK15" s="518"/>
      <c r="JDL15" s="518"/>
      <c r="JDM15" s="518"/>
      <c r="JDN15" s="518"/>
      <c r="JDO15" s="518"/>
      <c r="JDP15" s="518"/>
      <c r="JDQ15" s="518"/>
      <c r="JDR15" s="518"/>
      <c r="JDS15" s="518"/>
      <c r="JDT15" s="518"/>
      <c r="JDU15" s="518"/>
      <c r="JDV15" s="518"/>
      <c r="JDW15" s="518"/>
      <c r="JDX15" s="518"/>
      <c r="JDY15" s="518"/>
      <c r="JDZ15" s="518"/>
      <c r="JEA15" s="518"/>
      <c r="JEB15" s="518"/>
      <c r="JEC15" s="518"/>
      <c r="JED15" s="518"/>
      <c r="JEE15" s="518"/>
      <c r="JEF15" s="518"/>
      <c r="JEG15" s="518"/>
      <c r="JEH15" s="518"/>
      <c r="JEI15" s="518"/>
      <c r="JEJ15" s="518"/>
      <c r="JEK15" s="518"/>
      <c r="JEL15" s="518"/>
      <c r="JEM15" s="518"/>
      <c r="JEN15" s="518"/>
      <c r="JEO15" s="518"/>
      <c r="JEP15" s="518"/>
      <c r="JEQ15" s="518"/>
      <c r="JER15" s="518"/>
      <c r="JES15" s="518"/>
      <c r="JET15" s="518"/>
      <c r="JEU15" s="518"/>
      <c r="JEV15" s="518"/>
      <c r="JEW15" s="518"/>
      <c r="JEX15" s="518"/>
      <c r="JEY15" s="518"/>
      <c r="JEZ15" s="518"/>
      <c r="JFA15" s="518"/>
      <c r="JFB15" s="518"/>
      <c r="JFC15" s="518"/>
      <c r="JFD15" s="518"/>
      <c r="JFE15" s="518"/>
      <c r="JFF15" s="518"/>
      <c r="JFG15" s="518"/>
      <c r="JFH15" s="518"/>
      <c r="JFI15" s="518"/>
      <c r="JFJ15" s="518"/>
      <c r="JFK15" s="518"/>
      <c r="JFL15" s="518"/>
      <c r="JFM15" s="518"/>
      <c r="JFN15" s="518"/>
      <c r="JFO15" s="518"/>
      <c r="JFP15" s="518"/>
      <c r="JFQ15" s="518"/>
      <c r="JFR15" s="518"/>
      <c r="JFS15" s="518"/>
      <c r="JFT15" s="518"/>
      <c r="JFU15" s="518"/>
      <c r="JFV15" s="518"/>
      <c r="JFW15" s="518"/>
      <c r="JFX15" s="518"/>
      <c r="JFY15" s="518"/>
      <c r="JFZ15" s="518"/>
      <c r="JGA15" s="518"/>
      <c r="JGB15" s="518"/>
      <c r="JGC15" s="518"/>
      <c r="JGD15" s="518"/>
      <c r="JGE15" s="518"/>
      <c r="JGF15" s="518"/>
      <c r="JGG15" s="518"/>
      <c r="JGH15" s="518"/>
      <c r="JGI15" s="518"/>
      <c r="JGJ15" s="518"/>
      <c r="JGK15" s="518"/>
      <c r="JGL15" s="518"/>
      <c r="JGM15" s="518"/>
      <c r="JGN15" s="518"/>
      <c r="JGO15" s="518"/>
      <c r="JGP15" s="518"/>
      <c r="JGQ15" s="518"/>
      <c r="JGR15" s="518"/>
      <c r="JGS15" s="518"/>
      <c r="JGT15" s="518"/>
      <c r="JGU15" s="518"/>
      <c r="JGV15" s="518"/>
      <c r="JGW15" s="518"/>
      <c r="JGX15" s="518"/>
      <c r="JGY15" s="518"/>
      <c r="JGZ15" s="518"/>
      <c r="JHA15" s="518"/>
      <c r="JHB15" s="518"/>
      <c r="JHC15" s="518"/>
      <c r="JHD15" s="518"/>
      <c r="JHE15" s="518"/>
      <c r="JHF15" s="518"/>
      <c r="JHG15" s="518"/>
      <c r="JHH15" s="518"/>
      <c r="JHI15" s="518"/>
      <c r="JHJ15" s="518"/>
      <c r="JHK15" s="518"/>
      <c r="JHL15" s="518"/>
      <c r="JHM15" s="518"/>
      <c r="JHN15" s="518"/>
      <c r="JHO15" s="518"/>
      <c r="JHP15" s="518"/>
      <c r="JHQ15" s="518"/>
      <c r="JHR15" s="518"/>
      <c r="JHS15" s="518"/>
      <c r="JHT15" s="518"/>
      <c r="JHU15" s="518"/>
      <c r="JHV15" s="518"/>
      <c r="JHW15" s="518"/>
      <c r="JHX15" s="518"/>
      <c r="JHY15" s="518"/>
      <c r="JHZ15" s="518"/>
      <c r="JIA15" s="518"/>
      <c r="JIB15" s="518"/>
      <c r="JIC15" s="518"/>
      <c r="JID15" s="518"/>
      <c r="JIE15" s="518"/>
      <c r="JIF15" s="518"/>
      <c r="JIG15" s="518"/>
      <c r="JIH15" s="518"/>
      <c r="JII15" s="518"/>
      <c r="JIJ15" s="518"/>
      <c r="JIK15" s="518"/>
      <c r="JIL15" s="518"/>
      <c r="JIM15" s="518"/>
      <c r="JIN15" s="518"/>
      <c r="JIO15" s="518"/>
      <c r="JIP15" s="518"/>
      <c r="JIQ15" s="518"/>
      <c r="JIR15" s="518"/>
      <c r="JIS15" s="518"/>
      <c r="JIT15" s="518"/>
      <c r="JIU15" s="518"/>
      <c r="JIV15" s="518"/>
      <c r="JIW15" s="518"/>
      <c r="JIX15" s="518"/>
      <c r="JIY15" s="518"/>
      <c r="JIZ15" s="518"/>
      <c r="JJA15" s="518"/>
      <c r="JJB15" s="518"/>
      <c r="JJC15" s="518"/>
      <c r="JJD15" s="518"/>
      <c r="JJE15" s="518"/>
      <c r="JJF15" s="518"/>
      <c r="JJG15" s="518"/>
      <c r="JJH15" s="518"/>
      <c r="JJI15" s="518"/>
      <c r="JJJ15" s="518"/>
      <c r="JJK15" s="518"/>
      <c r="JJL15" s="518"/>
      <c r="JJM15" s="518"/>
      <c r="JJN15" s="518"/>
      <c r="JJO15" s="518"/>
      <c r="JJP15" s="518"/>
      <c r="JJQ15" s="518"/>
      <c r="JJR15" s="518"/>
      <c r="JJS15" s="518"/>
      <c r="JJT15" s="518"/>
      <c r="JJU15" s="518"/>
      <c r="JJV15" s="518"/>
      <c r="JJW15" s="518"/>
      <c r="JJX15" s="518"/>
      <c r="JJY15" s="518"/>
      <c r="JJZ15" s="518"/>
      <c r="JKA15" s="518"/>
      <c r="JKB15" s="518"/>
      <c r="JKC15" s="518"/>
      <c r="JKD15" s="518"/>
      <c r="JKE15" s="518"/>
      <c r="JKF15" s="518"/>
      <c r="JKG15" s="518"/>
      <c r="JKH15" s="518"/>
      <c r="JKI15" s="518"/>
      <c r="JKJ15" s="518"/>
      <c r="JKK15" s="518"/>
      <c r="JKL15" s="518"/>
      <c r="JKM15" s="518"/>
      <c r="JKN15" s="518"/>
      <c r="JKO15" s="518"/>
      <c r="JKP15" s="518"/>
      <c r="JKQ15" s="518"/>
      <c r="JKR15" s="518"/>
      <c r="JKS15" s="518"/>
      <c r="JKT15" s="518"/>
      <c r="JKU15" s="518"/>
      <c r="JKV15" s="518"/>
      <c r="JKW15" s="518"/>
      <c r="JKX15" s="518"/>
      <c r="JKY15" s="518"/>
      <c r="JKZ15" s="518"/>
      <c r="JLA15" s="518"/>
      <c r="JLB15" s="518"/>
      <c r="JLC15" s="518"/>
      <c r="JLD15" s="518"/>
      <c r="JLE15" s="518"/>
      <c r="JLF15" s="518"/>
      <c r="JLG15" s="518"/>
      <c r="JLH15" s="518"/>
      <c r="JLI15" s="518"/>
      <c r="JLJ15" s="518"/>
      <c r="JLK15" s="518"/>
      <c r="JLL15" s="518"/>
      <c r="JLM15" s="518"/>
      <c r="JLN15" s="518"/>
      <c r="JLO15" s="518"/>
      <c r="JLP15" s="518"/>
      <c r="JLQ15" s="518"/>
      <c r="JLR15" s="518"/>
      <c r="JLS15" s="518"/>
      <c r="JLT15" s="518"/>
      <c r="JLU15" s="518"/>
      <c r="JLV15" s="518"/>
      <c r="JLW15" s="518"/>
      <c r="JLX15" s="518"/>
      <c r="JLY15" s="518"/>
      <c r="JLZ15" s="518"/>
      <c r="JMA15" s="518"/>
      <c r="JMB15" s="518"/>
      <c r="JMC15" s="518"/>
      <c r="JMD15" s="518"/>
      <c r="JME15" s="518"/>
      <c r="JMF15" s="518"/>
      <c r="JMG15" s="518"/>
      <c r="JMH15" s="518"/>
      <c r="JMI15" s="518"/>
      <c r="JMJ15" s="518"/>
      <c r="JMK15" s="518"/>
      <c r="JML15" s="518"/>
      <c r="JMM15" s="518"/>
      <c r="JMN15" s="518"/>
      <c r="JMO15" s="518"/>
      <c r="JMP15" s="518"/>
      <c r="JMQ15" s="518"/>
      <c r="JMR15" s="518"/>
      <c r="JMS15" s="518"/>
      <c r="JMT15" s="518"/>
      <c r="JMU15" s="518"/>
      <c r="JMV15" s="518"/>
      <c r="JMW15" s="518"/>
      <c r="JMX15" s="518"/>
      <c r="JMY15" s="518"/>
      <c r="JMZ15" s="518"/>
      <c r="JNA15" s="518"/>
      <c r="JNB15" s="518"/>
      <c r="JNC15" s="518"/>
      <c r="JND15" s="518"/>
      <c r="JNE15" s="518"/>
      <c r="JNF15" s="518"/>
      <c r="JNG15" s="518"/>
      <c r="JNH15" s="518"/>
      <c r="JNI15" s="518"/>
      <c r="JNJ15" s="518"/>
      <c r="JNK15" s="518"/>
      <c r="JNL15" s="518"/>
      <c r="JNM15" s="518"/>
      <c r="JNN15" s="518"/>
      <c r="JNO15" s="518"/>
      <c r="JNP15" s="518"/>
      <c r="JNQ15" s="518"/>
      <c r="JNR15" s="518"/>
      <c r="JNS15" s="518"/>
      <c r="JNT15" s="518"/>
      <c r="JNU15" s="518"/>
      <c r="JNV15" s="518"/>
      <c r="JNW15" s="518"/>
      <c r="JNX15" s="518"/>
      <c r="JNY15" s="518"/>
      <c r="JNZ15" s="518"/>
      <c r="JOA15" s="518"/>
      <c r="JOB15" s="518"/>
      <c r="JOC15" s="518"/>
      <c r="JOD15" s="518"/>
      <c r="JOE15" s="518"/>
      <c r="JOF15" s="518"/>
      <c r="JOG15" s="518"/>
      <c r="JOH15" s="518"/>
      <c r="JOI15" s="518"/>
      <c r="JOJ15" s="518"/>
      <c r="JOK15" s="518"/>
      <c r="JOL15" s="518"/>
      <c r="JOM15" s="518"/>
      <c r="JON15" s="518"/>
      <c r="JOO15" s="518"/>
      <c r="JOP15" s="518"/>
      <c r="JOQ15" s="518"/>
      <c r="JOR15" s="518"/>
      <c r="JOS15" s="518"/>
      <c r="JOT15" s="518"/>
      <c r="JOU15" s="518"/>
      <c r="JOV15" s="518"/>
      <c r="JOW15" s="518"/>
      <c r="JOX15" s="518"/>
      <c r="JOY15" s="518"/>
      <c r="JOZ15" s="518"/>
      <c r="JPA15" s="518"/>
      <c r="JPB15" s="518"/>
      <c r="JPC15" s="518"/>
      <c r="JPD15" s="518"/>
      <c r="JPE15" s="518"/>
      <c r="JPF15" s="518"/>
      <c r="JPG15" s="518"/>
      <c r="JPH15" s="518"/>
      <c r="JPI15" s="518"/>
      <c r="JPJ15" s="518"/>
      <c r="JPK15" s="518"/>
      <c r="JPL15" s="518"/>
      <c r="JPM15" s="518"/>
      <c r="JPN15" s="518"/>
      <c r="JPO15" s="518"/>
      <c r="JPP15" s="518"/>
      <c r="JPQ15" s="518"/>
      <c r="JPR15" s="518"/>
      <c r="JPS15" s="518"/>
      <c r="JPT15" s="518"/>
      <c r="JPU15" s="518"/>
      <c r="JPV15" s="518"/>
      <c r="JPW15" s="518"/>
      <c r="JPX15" s="518"/>
      <c r="JPY15" s="518"/>
      <c r="JPZ15" s="518"/>
      <c r="JQA15" s="518"/>
      <c r="JQB15" s="518"/>
      <c r="JQC15" s="518"/>
      <c r="JQD15" s="518"/>
      <c r="JQE15" s="518"/>
      <c r="JQF15" s="518"/>
      <c r="JQG15" s="518"/>
      <c r="JQH15" s="518"/>
      <c r="JQI15" s="518"/>
      <c r="JQJ15" s="518"/>
      <c r="JQK15" s="518"/>
      <c r="JQL15" s="518"/>
      <c r="JQM15" s="518"/>
      <c r="JQN15" s="518"/>
      <c r="JQO15" s="518"/>
      <c r="JQP15" s="518"/>
      <c r="JQQ15" s="518"/>
      <c r="JQR15" s="518"/>
      <c r="JQS15" s="518"/>
      <c r="JQT15" s="518"/>
      <c r="JQU15" s="518"/>
      <c r="JQV15" s="518"/>
      <c r="JQW15" s="518"/>
      <c r="JQX15" s="518"/>
      <c r="JQY15" s="518"/>
      <c r="JQZ15" s="518"/>
      <c r="JRA15" s="518"/>
      <c r="JRB15" s="518"/>
      <c r="JRC15" s="518"/>
      <c r="JRD15" s="518"/>
      <c r="JRE15" s="518"/>
      <c r="JRF15" s="518"/>
      <c r="JRG15" s="518"/>
      <c r="JRH15" s="518"/>
      <c r="JRI15" s="518"/>
      <c r="JRJ15" s="518"/>
      <c r="JRK15" s="518"/>
      <c r="JRL15" s="518"/>
      <c r="JRM15" s="518"/>
      <c r="JRN15" s="518"/>
      <c r="JRO15" s="518"/>
      <c r="JRP15" s="518"/>
      <c r="JRQ15" s="518"/>
      <c r="JRR15" s="518"/>
      <c r="JRS15" s="518"/>
      <c r="JRT15" s="518"/>
      <c r="JRU15" s="518"/>
      <c r="JRV15" s="518"/>
      <c r="JRW15" s="518"/>
      <c r="JRX15" s="518"/>
      <c r="JRY15" s="518"/>
      <c r="JRZ15" s="518"/>
      <c r="JSA15" s="518"/>
      <c r="JSB15" s="518"/>
      <c r="JSC15" s="518"/>
      <c r="JSD15" s="518"/>
      <c r="JSE15" s="518"/>
      <c r="JSF15" s="518"/>
      <c r="JSG15" s="518"/>
      <c r="JSH15" s="518"/>
      <c r="JSI15" s="518"/>
      <c r="JSJ15" s="518"/>
      <c r="JSK15" s="518"/>
      <c r="JSL15" s="518"/>
      <c r="JSM15" s="518"/>
      <c r="JSN15" s="518"/>
      <c r="JSO15" s="518"/>
      <c r="JSP15" s="518"/>
      <c r="JSQ15" s="518"/>
      <c r="JSR15" s="518"/>
      <c r="JSS15" s="518"/>
      <c r="JST15" s="518"/>
      <c r="JSU15" s="518"/>
      <c r="JSV15" s="518"/>
      <c r="JSW15" s="518"/>
      <c r="JSX15" s="518"/>
      <c r="JSY15" s="518"/>
      <c r="JSZ15" s="518"/>
      <c r="JTA15" s="518"/>
      <c r="JTB15" s="518"/>
      <c r="JTC15" s="518"/>
      <c r="JTD15" s="518"/>
      <c r="JTE15" s="518"/>
      <c r="JTF15" s="518"/>
      <c r="JTG15" s="518"/>
      <c r="JTH15" s="518"/>
      <c r="JTI15" s="518"/>
      <c r="JTJ15" s="518"/>
      <c r="JTK15" s="518"/>
      <c r="JTL15" s="518"/>
      <c r="JTM15" s="518"/>
      <c r="JTN15" s="518"/>
      <c r="JTO15" s="518"/>
      <c r="JTP15" s="518"/>
      <c r="JTQ15" s="518"/>
      <c r="JTR15" s="518"/>
      <c r="JTS15" s="518"/>
      <c r="JTT15" s="518"/>
      <c r="JTU15" s="518"/>
      <c r="JTV15" s="518"/>
      <c r="JTW15" s="518"/>
      <c r="JTX15" s="518"/>
      <c r="JTY15" s="518"/>
      <c r="JTZ15" s="518"/>
      <c r="JUA15" s="518"/>
      <c r="JUB15" s="518"/>
      <c r="JUC15" s="518"/>
      <c r="JUD15" s="518"/>
      <c r="JUE15" s="518"/>
      <c r="JUF15" s="518"/>
      <c r="JUG15" s="518"/>
      <c r="JUH15" s="518"/>
      <c r="JUI15" s="518"/>
      <c r="JUJ15" s="518"/>
      <c r="JUK15" s="518"/>
      <c r="JUL15" s="518"/>
      <c r="JUM15" s="518"/>
      <c r="JUN15" s="518"/>
      <c r="JUO15" s="518"/>
      <c r="JUP15" s="518"/>
      <c r="JUQ15" s="518"/>
      <c r="JUR15" s="518"/>
      <c r="JUS15" s="518"/>
      <c r="JUT15" s="518"/>
      <c r="JUU15" s="518"/>
      <c r="JUV15" s="518"/>
      <c r="JUW15" s="518"/>
      <c r="JUX15" s="518"/>
      <c r="JUY15" s="518"/>
      <c r="JUZ15" s="518"/>
      <c r="JVA15" s="518"/>
      <c r="JVB15" s="518"/>
      <c r="JVC15" s="518"/>
      <c r="JVD15" s="518"/>
      <c r="JVE15" s="518"/>
      <c r="JVF15" s="518"/>
      <c r="JVG15" s="518"/>
      <c r="JVH15" s="518"/>
      <c r="JVI15" s="518"/>
      <c r="JVJ15" s="518"/>
      <c r="JVK15" s="518"/>
      <c r="JVL15" s="518"/>
      <c r="JVM15" s="518"/>
      <c r="JVN15" s="518"/>
      <c r="JVO15" s="518"/>
      <c r="JVP15" s="518"/>
      <c r="JVQ15" s="518"/>
      <c r="JVR15" s="518"/>
      <c r="JVS15" s="518"/>
      <c r="JVT15" s="518"/>
      <c r="JVU15" s="518"/>
      <c r="JVV15" s="518"/>
      <c r="JVW15" s="518"/>
      <c r="JVX15" s="518"/>
      <c r="JVY15" s="518"/>
      <c r="JVZ15" s="518"/>
      <c r="JWA15" s="518"/>
      <c r="JWB15" s="518"/>
      <c r="JWC15" s="518"/>
      <c r="JWD15" s="518"/>
      <c r="JWE15" s="518"/>
      <c r="JWF15" s="518"/>
      <c r="JWG15" s="518"/>
      <c r="JWH15" s="518"/>
      <c r="JWI15" s="518"/>
      <c r="JWJ15" s="518"/>
      <c r="JWK15" s="518"/>
      <c r="JWL15" s="518"/>
      <c r="JWM15" s="518"/>
      <c r="JWN15" s="518"/>
      <c r="JWO15" s="518"/>
      <c r="JWP15" s="518"/>
      <c r="JWQ15" s="518"/>
      <c r="JWR15" s="518"/>
      <c r="JWS15" s="518"/>
      <c r="JWT15" s="518"/>
      <c r="JWU15" s="518"/>
      <c r="JWV15" s="518"/>
      <c r="JWW15" s="518"/>
      <c r="JWX15" s="518"/>
      <c r="JWY15" s="518"/>
      <c r="JWZ15" s="518"/>
      <c r="JXA15" s="518"/>
      <c r="JXB15" s="518"/>
      <c r="JXC15" s="518"/>
      <c r="JXD15" s="518"/>
      <c r="JXE15" s="518"/>
      <c r="JXF15" s="518"/>
      <c r="JXG15" s="518"/>
      <c r="JXH15" s="518"/>
      <c r="JXI15" s="518"/>
      <c r="JXJ15" s="518"/>
      <c r="JXK15" s="518"/>
      <c r="JXL15" s="518"/>
      <c r="JXM15" s="518"/>
      <c r="JXN15" s="518"/>
      <c r="JXO15" s="518"/>
      <c r="JXP15" s="518"/>
      <c r="JXQ15" s="518"/>
      <c r="JXR15" s="518"/>
      <c r="JXS15" s="518"/>
      <c r="JXT15" s="518"/>
      <c r="JXU15" s="518"/>
      <c r="JXV15" s="518"/>
      <c r="JXW15" s="518"/>
      <c r="JXX15" s="518"/>
      <c r="JXY15" s="518"/>
      <c r="JXZ15" s="518"/>
      <c r="JYA15" s="518"/>
      <c r="JYB15" s="518"/>
      <c r="JYC15" s="518"/>
      <c r="JYD15" s="518"/>
      <c r="JYE15" s="518"/>
      <c r="JYF15" s="518"/>
      <c r="JYG15" s="518"/>
      <c r="JYH15" s="518"/>
      <c r="JYI15" s="518"/>
      <c r="JYJ15" s="518"/>
      <c r="JYK15" s="518"/>
      <c r="JYL15" s="518"/>
      <c r="JYM15" s="518"/>
      <c r="JYN15" s="518"/>
      <c r="JYO15" s="518"/>
      <c r="JYP15" s="518"/>
      <c r="JYQ15" s="518"/>
      <c r="JYR15" s="518"/>
      <c r="JYS15" s="518"/>
      <c r="JYT15" s="518"/>
      <c r="JYU15" s="518"/>
      <c r="JYV15" s="518"/>
      <c r="JYW15" s="518"/>
      <c r="JYX15" s="518"/>
      <c r="JYY15" s="518"/>
      <c r="JYZ15" s="518"/>
      <c r="JZA15" s="518"/>
      <c r="JZB15" s="518"/>
      <c r="JZC15" s="518"/>
      <c r="JZD15" s="518"/>
      <c r="JZE15" s="518"/>
      <c r="JZF15" s="518"/>
      <c r="JZG15" s="518"/>
      <c r="JZH15" s="518"/>
      <c r="JZI15" s="518"/>
      <c r="JZJ15" s="518"/>
      <c r="JZK15" s="518"/>
      <c r="JZL15" s="518"/>
      <c r="JZM15" s="518"/>
      <c r="JZN15" s="518"/>
      <c r="JZO15" s="518"/>
      <c r="JZP15" s="518"/>
      <c r="JZQ15" s="518"/>
      <c r="JZR15" s="518"/>
      <c r="JZS15" s="518"/>
      <c r="JZT15" s="518"/>
      <c r="JZU15" s="518"/>
      <c r="JZV15" s="518"/>
      <c r="JZW15" s="518"/>
      <c r="JZX15" s="518"/>
      <c r="JZY15" s="518"/>
      <c r="JZZ15" s="518"/>
      <c r="KAA15" s="518"/>
      <c r="KAB15" s="518"/>
      <c r="KAC15" s="518"/>
      <c r="KAD15" s="518"/>
      <c r="KAE15" s="518"/>
      <c r="KAF15" s="518"/>
      <c r="KAG15" s="518"/>
      <c r="KAH15" s="518"/>
      <c r="KAI15" s="518"/>
      <c r="KAJ15" s="518"/>
      <c r="KAK15" s="518"/>
      <c r="KAL15" s="518"/>
      <c r="KAM15" s="518"/>
      <c r="KAN15" s="518"/>
      <c r="KAO15" s="518"/>
      <c r="KAP15" s="518"/>
      <c r="KAQ15" s="518"/>
      <c r="KAR15" s="518"/>
      <c r="KAS15" s="518"/>
      <c r="KAT15" s="518"/>
      <c r="KAU15" s="518"/>
      <c r="KAV15" s="518"/>
      <c r="KAW15" s="518"/>
      <c r="KAX15" s="518"/>
      <c r="KAY15" s="518"/>
      <c r="KAZ15" s="518"/>
      <c r="KBA15" s="518"/>
      <c r="KBB15" s="518"/>
      <c r="KBC15" s="518"/>
      <c r="KBD15" s="518"/>
      <c r="KBE15" s="518"/>
      <c r="KBF15" s="518"/>
      <c r="KBG15" s="518"/>
      <c r="KBH15" s="518"/>
      <c r="KBI15" s="518"/>
      <c r="KBJ15" s="518"/>
      <c r="KBK15" s="518"/>
      <c r="KBL15" s="518"/>
      <c r="KBM15" s="518"/>
      <c r="KBN15" s="518"/>
      <c r="KBO15" s="518"/>
      <c r="KBP15" s="518"/>
      <c r="KBQ15" s="518"/>
      <c r="KBR15" s="518"/>
      <c r="KBS15" s="518"/>
      <c r="KBT15" s="518"/>
      <c r="KBU15" s="518"/>
      <c r="KBV15" s="518"/>
      <c r="KBW15" s="518"/>
      <c r="KBX15" s="518"/>
      <c r="KBY15" s="518"/>
      <c r="KBZ15" s="518"/>
      <c r="KCA15" s="518"/>
      <c r="KCB15" s="518"/>
      <c r="KCC15" s="518"/>
      <c r="KCD15" s="518"/>
      <c r="KCE15" s="518"/>
      <c r="KCF15" s="518"/>
      <c r="KCG15" s="518"/>
      <c r="KCH15" s="518"/>
      <c r="KCI15" s="518"/>
      <c r="KCJ15" s="518"/>
      <c r="KCK15" s="518"/>
      <c r="KCL15" s="518"/>
      <c r="KCM15" s="518"/>
      <c r="KCN15" s="518"/>
      <c r="KCO15" s="518"/>
      <c r="KCP15" s="518"/>
      <c r="KCQ15" s="518"/>
      <c r="KCR15" s="518"/>
      <c r="KCS15" s="518"/>
      <c r="KCT15" s="518"/>
      <c r="KCU15" s="518"/>
      <c r="KCV15" s="518"/>
      <c r="KCW15" s="518"/>
      <c r="KCX15" s="518"/>
      <c r="KCY15" s="518"/>
      <c r="KCZ15" s="518"/>
      <c r="KDA15" s="518"/>
      <c r="KDB15" s="518"/>
      <c r="KDC15" s="518"/>
      <c r="KDD15" s="518"/>
      <c r="KDE15" s="518"/>
      <c r="KDF15" s="518"/>
      <c r="KDG15" s="518"/>
      <c r="KDH15" s="518"/>
      <c r="KDI15" s="518"/>
      <c r="KDJ15" s="518"/>
      <c r="KDK15" s="518"/>
      <c r="KDL15" s="518"/>
      <c r="KDM15" s="518"/>
      <c r="KDN15" s="518"/>
      <c r="KDO15" s="518"/>
      <c r="KDP15" s="518"/>
      <c r="KDQ15" s="518"/>
      <c r="KDR15" s="518"/>
      <c r="KDS15" s="518"/>
      <c r="KDT15" s="518"/>
      <c r="KDU15" s="518"/>
      <c r="KDV15" s="518"/>
      <c r="KDW15" s="518"/>
      <c r="KDX15" s="518"/>
      <c r="KDY15" s="518"/>
      <c r="KDZ15" s="518"/>
      <c r="KEA15" s="518"/>
      <c r="KEB15" s="518"/>
      <c r="KEC15" s="518"/>
      <c r="KED15" s="518"/>
      <c r="KEE15" s="518"/>
      <c r="KEF15" s="518"/>
      <c r="KEG15" s="518"/>
      <c r="KEH15" s="518"/>
      <c r="KEI15" s="518"/>
      <c r="KEJ15" s="518"/>
      <c r="KEK15" s="518"/>
      <c r="KEL15" s="518"/>
      <c r="KEM15" s="518"/>
      <c r="KEN15" s="518"/>
      <c r="KEO15" s="518"/>
      <c r="KEP15" s="518"/>
      <c r="KEQ15" s="518"/>
      <c r="KER15" s="518"/>
      <c r="KES15" s="518"/>
      <c r="KET15" s="518"/>
      <c r="KEU15" s="518"/>
      <c r="KEV15" s="518"/>
      <c r="KEW15" s="518"/>
      <c r="KEX15" s="518"/>
      <c r="KEY15" s="518"/>
      <c r="KEZ15" s="518"/>
      <c r="KFA15" s="518"/>
      <c r="KFB15" s="518"/>
      <c r="KFC15" s="518"/>
      <c r="KFD15" s="518"/>
      <c r="KFE15" s="518"/>
      <c r="KFF15" s="518"/>
      <c r="KFG15" s="518"/>
      <c r="KFH15" s="518"/>
      <c r="KFI15" s="518"/>
      <c r="KFJ15" s="518"/>
      <c r="KFK15" s="518"/>
      <c r="KFL15" s="518"/>
      <c r="KFM15" s="518"/>
      <c r="KFN15" s="518"/>
      <c r="KFO15" s="518"/>
      <c r="KFP15" s="518"/>
      <c r="KFQ15" s="518"/>
      <c r="KFR15" s="518"/>
      <c r="KFS15" s="518"/>
      <c r="KFT15" s="518"/>
      <c r="KFU15" s="518"/>
      <c r="KFV15" s="518"/>
      <c r="KFW15" s="518"/>
      <c r="KFX15" s="518"/>
      <c r="KFY15" s="518"/>
      <c r="KFZ15" s="518"/>
      <c r="KGA15" s="518"/>
      <c r="KGB15" s="518"/>
      <c r="KGC15" s="518"/>
      <c r="KGD15" s="518"/>
      <c r="KGE15" s="518"/>
      <c r="KGF15" s="518"/>
      <c r="KGG15" s="518"/>
      <c r="KGH15" s="518"/>
      <c r="KGI15" s="518"/>
      <c r="KGJ15" s="518"/>
      <c r="KGK15" s="518"/>
      <c r="KGL15" s="518"/>
      <c r="KGM15" s="518"/>
      <c r="KGN15" s="518"/>
      <c r="KGO15" s="518"/>
      <c r="KGP15" s="518"/>
      <c r="KGQ15" s="518"/>
      <c r="KGR15" s="518"/>
      <c r="KGS15" s="518"/>
      <c r="KGT15" s="518"/>
      <c r="KGU15" s="518"/>
      <c r="KGV15" s="518"/>
      <c r="KGW15" s="518"/>
      <c r="KGX15" s="518"/>
      <c r="KGY15" s="518"/>
      <c r="KGZ15" s="518"/>
      <c r="KHA15" s="518"/>
      <c r="KHB15" s="518"/>
      <c r="KHC15" s="518"/>
      <c r="KHD15" s="518"/>
      <c r="KHE15" s="518"/>
      <c r="KHF15" s="518"/>
      <c r="KHG15" s="518"/>
      <c r="KHH15" s="518"/>
      <c r="KHI15" s="518"/>
      <c r="KHJ15" s="518"/>
      <c r="KHK15" s="518"/>
      <c r="KHL15" s="518"/>
      <c r="KHM15" s="518"/>
      <c r="KHN15" s="518"/>
      <c r="KHO15" s="518"/>
      <c r="KHP15" s="518"/>
      <c r="KHQ15" s="518"/>
      <c r="KHR15" s="518"/>
      <c r="KHS15" s="518"/>
      <c r="KHT15" s="518"/>
      <c r="KHU15" s="518"/>
      <c r="KHV15" s="518"/>
      <c r="KHW15" s="518"/>
      <c r="KHX15" s="518"/>
      <c r="KHY15" s="518"/>
      <c r="KHZ15" s="518"/>
      <c r="KIA15" s="518"/>
      <c r="KIB15" s="518"/>
      <c r="KIC15" s="518"/>
      <c r="KID15" s="518"/>
      <c r="KIE15" s="518"/>
      <c r="KIF15" s="518"/>
      <c r="KIG15" s="518"/>
      <c r="KIH15" s="518"/>
      <c r="KII15" s="518"/>
      <c r="KIJ15" s="518"/>
      <c r="KIK15" s="518"/>
      <c r="KIL15" s="518"/>
      <c r="KIM15" s="518"/>
      <c r="KIN15" s="518"/>
      <c r="KIO15" s="518"/>
      <c r="KIP15" s="518"/>
      <c r="KIQ15" s="518"/>
      <c r="KIR15" s="518"/>
      <c r="KIS15" s="518"/>
      <c r="KIT15" s="518"/>
      <c r="KIU15" s="518"/>
      <c r="KIV15" s="518"/>
      <c r="KIW15" s="518"/>
      <c r="KIX15" s="518"/>
      <c r="KIY15" s="518"/>
      <c r="KIZ15" s="518"/>
      <c r="KJA15" s="518"/>
      <c r="KJB15" s="518"/>
      <c r="KJC15" s="518"/>
      <c r="KJD15" s="518"/>
      <c r="KJE15" s="518"/>
      <c r="KJF15" s="518"/>
      <c r="KJG15" s="518"/>
      <c r="KJH15" s="518"/>
      <c r="KJI15" s="518"/>
      <c r="KJJ15" s="518"/>
      <c r="KJK15" s="518"/>
      <c r="KJL15" s="518"/>
      <c r="KJM15" s="518"/>
      <c r="KJN15" s="518"/>
      <c r="KJO15" s="518"/>
      <c r="KJP15" s="518"/>
      <c r="KJQ15" s="518"/>
      <c r="KJR15" s="518"/>
      <c r="KJS15" s="518"/>
      <c r="KJT15" s="518"/>
      <c r="KJU15" s="518"/>
      <c r="KJV15" s="518"/>
      <c r="KJW15" s="518"/>
      <c r="KJX15" s="518"/>
      <c r="KJY15" s="518"/>
      <c r="KJZ15" s="518"/>
      <c r="KKA15" s="518"/>
      <c r="KKB15" s="518"/>
      <c r="KKC15" s="518"/>
      <c r="KKD15" s="518"/>
      <c r="KKE15" s="518"/>
      <c r="KKF15" s="518"/>
      <c r="KKG15" s="518"/>
      <c r="KKH15" s="518"/>
      <c r="KKI15" s="518"/>
      <c r="KKJ15" s="518"/>
      <c r="KKK15" s="518"/>
      <c r="KKL15" s="518"/>
      <c r="KKM15" s="518"/>
      <c r="KKN15" s="518"/>
      <c r="KKO15" s="518"/>
      <c r="KKP15" s="518"/>
      <c r="KKQ15" s="518"/>
      <c r="KKR15" s="518"/>
      <c r="KKS15" s="518"/>
      <c r="KKT15" s="518"/>
      <c r="KKU15" s="518"/>
      <c r="KKV15" s="518"/>
      <c r="KKW15" s="518"/>
      <c r="KKX15" s="518"/>
      <c r="KKY15" s="518"/>
      <c r="KKZ15" s="518"/>
      <c r="KLA15" s="518"/>
      <c r="KLB15" s="518"/>
      <c r="KLC15" s="518"/>
      <c r="KLD15" s="518"/>
      <c r="KLE15" s="518"/>
      <c r="KLF15" s="518"/>
      <c r="KLG15" s="518"/>
      <c r="KLH15" s="518"/>
      <c r="KLI15" s="518"/>
      <c r="KLJ15" s="518"/>
      <c r="KLK15" s="518"/>
      <c r="KLL15" s="518"/>
      <c r="KLM15" s="518"/>
      <c r="KLN15" s="518"/>
      <c r="KLO15" s="518"/>
      <c r="KLP15" s="518"/>
      <c r="KLQ15" s="518"/>
      <c r="KLR15" s="518"/>
      <c r="KLS15" s="518"/>
      <c r="KLT15" s="518"/>
      <c r="KLU15" s="518"/>
      <c r="KLV15" s="518"/>
      <c r="KLW15" s="518"/>
      <c r="KLX15" s="518"/>
      <c r="KLY15" s="518"/>
      <c r="KLZ15" s="518"/>
      <c r="KMA15" s="518"/>
      <c r="KMB15" s="518"/>
      <c r="KMC15" s="518"/>
      <c r="KMD15" s="518"/>
      <c r="KME15" s="518"/>
      <c r="KMF15" s="518"/>
      <c r="KMG15" s="518"/>
      <c r="KMH15" s="518"/>
      <c r="KMI15" s="518"/>
      <c r="KMJ15" s="518"/>
      <c r="KMK15" s="518"/>
      <c r="KML15" s="518"/>
      <c r="KMM15" s="518"/>
      <c r="KMN15" s="518"/>
      <c r="KMO15" s="518"/>
      <c r="KMP15" s="518"/>
      <c r="KMQ15" s="518"/>
      <c r="KMR15" s="518"/>
      <c r="KMS15" s="518"/>
      <c r="KMT15" s="518"/>
      <c r="KMU15" s="518"/>
      <c r="KMV15" s="518"/>
      <c r="KMW15" s="518"/>
      <c r="KMX15" s="518"/>
      <c r="KMY15" s="518"/>
      <c r="KMZ15" s="518"/>
      <c r="KNA15" s="518"/>
      <c r="KNB15" s="518"/>
      <c r="KNC15" s="518"/>
      <c r="KND15" s="518"/>
      <c r="KNE15" s="518"/>
      <c r="KNF15" s="518"/>
      <c r="KNG15" s="518"/>
      <c r="KNH15" s="518"/>
      <c r="KNI15" s="518"/>
      <c r="KNJ15" s="518"/>
      <c r="KNK15" s="518"/>
      <c r="KNL15" s="518"/>
      <c r="KNM15" s="518"/>
      <c r="KNN15" s="518"/>
      <c r="KNO15" s="518"/>
      <c r="KNP15" s="518"/>
      <c r="KNQ15" s="518"/>
      <c r="KNR15" s="518"/>
      <c r="KNS15" s="518"/>
      <c r="KNT15" s="518"/>
      <c r="KNU15" s="518"/>
      <c r="KNV15" s="518"/>
      <c r="KNW15" s="518"/>
      <c r="KNX15" s="518"/>
      <c r="KNY15" s="518"/>
      <c r="KNZ15" s="518"/>
      <c r="KOA15" s="518"/>
      <c r="KOB15" s="518"/>
      <c r="KOC15" s="518"/>
      <c r="KOD15" s="518"/>
      <c r="KOE15" s="518"/>
      <c r="KOF15" s="518"/>
      <c r="KOG15" s="518"/>
      <c r="KOH15" s="518"/>
      <c r="KOI15" s="518"/>
      <c r="KOJ15" s="518"/>
      <c r="KOK15" s="518"/>
      <c r="KOL15" s="518"/>
      <c r="KOM15" s="518"/>
      <c r="KON15" s="518"/>
      <c r="KOO15" s="518"/>
      <c r="KOP15" s="518"/>
      <c r="KOQ15" s="518"/>
      <c r="KOR15" s="518"/>
      <c r="KOS15" s="518"/>
      <c r="KOT15" s="518"/>
      <c r="KOU15" s="518"/>
      <c r="KOV15" s="518"/>
      <c r="KOW15" s="518"/>
      <c r="KOX15" s="518"/>
      <c r="KOY15" s="518"/>
      <c r="KOZ15" s="518"/>
      <c r="KPA15" s="518"/>
      <c r="KPB15" s="518"/>
      <c r="KPC15" s="518"/>
      <c r="KPD15" s="518"/>
      <c r="KPE15" s="518"/>
      <c r="KPF15" s="518"/>
      <c r="KPG15" s="518"/>
      <c r="KPH15" s="518"/>
      <c r="KPI15" s="518"/>
      <c r="KPJ15" s="518"/>
      <c r="KPK15" s="518"/>
      <c r="KPL15" s="518"/>
      <c r="KPM15" s="518"/>
      <c r="KPN15" s="518"/>
      <c r="KPO15" s="518"/>
      <c r="KPP15" s="518"/>
      <c r="KPQ15" s="518"/>
      <c r="KPR15" s="518"/>
      <c r="KPS15" s="518"/>
      <c r="KPT15" s="518"/>
      <c r="KPU15" s="518"/>
      <c r="KPV15" s="518"/>
      <c r="KPW15" s="518"/>
      <c r="KPX15" s="518"/>
      <c r="KPY15" s="518"/>
      <c r="KPZ15" s="518"/>
      <c r="KQA15" s="518"/>
      <c r="KQB15" s="518"/>
      <c r="KQC15" s="518"/>
      <c r="KQD15" s="518"/>
      <c r="KQE15" s="518"/>
      <c r="KQF15" s="518"/>
      <c r="KQG15" s="518"/>
      <c r="KQH15" s="518"/>
      <c r="KQI15" s="518"/>
      <c r="KQJ15" s="518"/>
      <c r="KQK15" s="518"/>
      <c r="KQL15" s="518"/>
      <c r="KQM15" s="518"/>
      <c r="KQN15" s="518"/>
      <c r="KQO15" s="518"/>
      <c r="KQP15" s="518"/>
      <c r="KQQ15" s="518"/>
      <c r="KQR15" s="518"/>
      <c r="KQS15" s="518"/>
      <c r="KQT15" s="518"/>
      <c r="KQU15" s="518"/>
      <c r="KQV15" s="518"/>
      <c r="KQW15" s="518"/>
      <c r="KQX15" s="518"/>
      <c r="KQY15" s="518"/>
      <c r="KQZ15" s="518"/>
      <c r="KRA15" s="518"/>
      <c r="KRB15" s="518"/>
      <c r="KRC15" s="518"/>
      <c r="KRD15" s="518"/>
      <c r="KRE15" s="518"/>
      <c r="KRF15" s="518"/>
      <c r="KRG15" s="518"/>
      <c r="KRH15" s="518"/>
      <c r="KRI15" s="518"/>
      <c r="KRJ15" s="518"/>
      <c r="KRK15" s="518"/>
      <c r="KRL15" s="518"/>
      <c r="KRM15" s="518"/>
      <c r="KRN15" s="518"/>
      <c r="KRO15" s="518"/>
      <c r="KRP15" s="518"/>
      <c r="KRQ15" s="518"/>
      <c r="KRR15" s="518"/>
      <c r="KRS15" s="518"/>
      <c r="KRT15" s="518"/>
      <c r="KRU15" s="518"/>
      <c r="KRV15" s="518"/>
      <c r="KRW15" s="518"/>
      <c r="KRX15" s="518"/>
      <c r="KRY15" s="518"/>
      <c r="KRZ15" s="518"/>
      <c r="KSA15" s="518"/>
      <c r="KSB15" s="518"/>
      <c r="KSC15" s="518"/>
      <c r="KSD15" s="518"/>
      <c r="KSE15" s="518"/>
      <c r="KSF15" s="518"/>
      <c r="KSG15" s="518"/>
      <c r="KSH15" s="518"/>
      <c r="KSI15" s="518"/>
      <c r="KSJ15" s="518"/>
      <c r="KSK15" s="518"/>
      <c r="KSL15" s="518"/>
      <c r="KSM15" s="518"/>
      <c r="KSN15" s="518"/>
      <c r="KSO15" s="518"/>
      <c r="KSP15" s="518"/>
      <c r="KSQ15" s="518"/>
      <c r="KSR15" s="518"/>
      <c r="KSS15" s="518"/>
      <c r="KST15" s="518"/>
      <c r="KSU15" s="518"/>
      <c r="KSV15" s="518"/>
      <c r="KSW15" s="518"/>
      <c r="KSX15" s="518"/>
      <c r="KSY15" s="518"/>
      <c r="KSZ15" s="518"/>
      <c r="KTA15" s="518"/>
      <c r="KTB15" s="518"/>
      <c r="KTC15" s="518"/>
      <c r="KTD15" s="518"/>
      <c r="KTE15" s="518"/>
      <c r="KTF15" s="518"/>
      <c r="KTG15" s="518"/>
      <c r="KTH15" s="518"/>
      <c r="KTI15" s="518"/>
      <c r="KTJ15" s="518"/>
      <c r="KTK15" s="518"/>
      <c r="KTL15" s="518"/>
      <c r="KTM15" s="518"/>
      <c r="KTN15" s="518"/>
      <c r="KTO15" s="518"/>
      <c r="KTP15" s="518"/>
      <c r="KTQ15" s="518"/>
      <c r="KTR15" s="518"/>
      <c r="KTS15" s="518"/>
      <c r="KTT15" s="518"/>
      <c r="KTU15" s="518"/>
      <c r="KTV15" s="518"/>
      <c r="KTW15" s="518"/>
      <c r="KTX15" s="518"/>
      <c r="KTY15" s="518"/>
      <c r="KTZ15" s="518"/>
      <c r="KUA15" s="518"/>
      <c r="KUB15" s="518"/>
      <c r="KUC15" s="518"/>
      <c r="KUD15" s="518"/>
      <c r="KUE15" s="518"/>
      <c r="KUF15" s="518"/>
      <c r="KUG15" s="518"/>
      <c r="KUH15" s="518"/>
      <c r="KUI15" s="518"/>
      <c r="KUJ15" s="518"/>
      <c r="KUK15" s="518"/>
      <c r="KUL15" s="518"/>
      <c r="KUM15" s="518"/>
      <c r="KUN15" s="518"/>
      <c r="KUO15" s="518"/>
      <c r="KUP15" s="518"/>
      <c r="KUQ15" s="518"/>
      <c r="KUR15" s="518"/>
      <c r="KUS15" s="518"/>
      <c r="KUT15" s="518"/>
      <c r="KUU15" s="518"/>
      <c r="KUV15" s="518"/>
      <c r="KUW15" s="518"/>
      <c r="KUX15" s="518"/>
      <c r="KUY15" s="518"/>
      <c r="KUZ15" s="518"/>
      <c r="KVA15" s="518"/>
      <c r="KVB15" s="518"/>
      <c r="KVC15" s="518"/>
      <c r="KVD15" s="518"/>
      <c r="KVE15" s="518"/>
      <c r="KVF15" s="518"/>
      <c r="KVG15" s="518"/>
      <c r="KVH15" s="518"/>
      <c r="KVI15" s="518"/>
      <c r="KVJ15" s="518"/>
      <c r="KVK15" s="518"/>
      <c r="KVL15" s="518"/>
      <c r="KVM15" s="518"/>
      <c r="KVN15" s="518"/>
      <c r="KVO15" s="518"/>
      <c r="KVP15" s="518"/>
      <c r="KVQ15" s="518"/>
      <c r="KVR15" s="518"/>
      <c r="KVS15" s="518"/>
      <c r="KVT15" s="518"/>
      <c r="KVU15" s="518"/>
      <c r="KVV15" s="518"/>
      <c r="KVW15" s="518"/>
      <c r="KVX15" s="518"/>
      <c r="KVY15" s="518"/>
      <c r="KVZ15" s="518"/>
      <c r="KWA15" s="518"/>
      <c r="KWB15" s="518"/>
      <c r="KWC15" s="518"/>
      <c r="KWD15" s="518"/>
      <c r="KWE15" s="518"/>
      <c r="KWF15" s="518"/>
      <c r="KWG15" s="518"/>
      <c r="KWH15" s="518"/>
      <c r="KWI15" s="518"/>
      <c r="KWJ15" s="518"/>
      <c r="KWK15" s="518"/>
      <c r="KWL15" s="518"/>
      <c r="KWM15" s="518"/>
      <c r="KWN15" s="518"/>
      <c r="KWO15" s="518"/>
      <c r="KWP15" s="518"/>
      <c r="KWQ15" s="518"/>
      <c r="KWR15" s="518"/>
      <c r="KWS15" s="518"/>
      <c r="KWT15" s="518"/>
      <c r="KWU15" s="518"/>
      <c r="KWV15" s="518"/>
      <c r="KWW15" s="518"/>
      <c r="KWX15" s="518"/>
      <c r="KWY15" s="518"/>
      <c r="KWZ15" s="518"/>
      <c r="KXA15" s="518"/>
      <c r="KXB15" s="518"/>
      <c r="KXC15" s="518"/>
      <c r="KXD15" s="518"/>
      <c r="KXE15" s="518"/>
      <c r="KXF15" s="518"/>
      <c r="KXG15" s="518"/>
      <c r="KXH15" s="518"/>
      <c r="KXI15" s="518"/>
      <c r="KXJ15" s="518"/>
      <c r="KXK15" s="518"/>
      <c r="KXL15" s="518"/>
      <c r="KXM15" s="518"/>
      <c r="KXN15" s="518"/>
      <c r="KXO15" s="518"/>
      <c r="KXP15" s="518"/>
      <c r="KXQ15" s="518"/>
      <c r="KXR15" s="518"/>
      <c r="KXS15" s="518"/>
      <c r="KXT15" s="518"/>
      <c r="KXU15" s="518"/>
      <c r="KXV15" s="518"/>
      <c r="KXW15" s="518"/>
      <c r="KXX15" s="518"/>
      <c r="KXY15" s="518"/>
      <c r="KXZ15" s="518"/>
      <c r="KYA15" s="518"/>
      <c r="KYB15" s="518"/>
      <c r="KYC15" s="518"/>
      <c r="KYD15" s="518"/>
      <c r="KYE15" s="518"/>
      <c r="KYF15" s="518"/>
      <c r="KYG15" s="518"/>
      <c r="KYH15" s="518"/>
      <c r="KYI15" s="518"/>
      <c r="KYJ15" s="518"/>
      <c r="KYK15" s="518"/>
      <c r="KYL15" s="518"/>
      <c r="KYM15" s="518"/>
      <c r="KYN15" s="518"/>
      <c r="KYO15" s="518"/>
      <c r="KYP15" s="518"/>
      <c r="KYQ15" s="518"/>
      <c r="KYR15" s="518"/>
      <c r="KYS15" s="518"/>
      <c r="KYT15" s="518"/>
      <c r="KYU15" s="518"/>
      <c r="KYV15" s="518"/>
      <c r="KYW15" s="518"/>
      <c r="KYX15" s="518"/>
      <c r="KYY15" s="518"/>
      <c r="KYZ15" s="518"/>
      <c r="KZA15" s="518"/>
      <c r="KZB15" s="518"/>
      <c r="KZC15" s="518"/>
      <c r="KZD15" s="518"/>
      <c r="KZE15" s="518"/>
      <c r="KZF15" s="518"/>
      <c r="KZG15" s="518"/>
      <c r="KZH15" s="518"/>
      <c r="KZI15" s="518"/>
      <c r="KZJ15" s="518"/>
      <c r="KZK15" s="518"/>
      <c r="KZL15" s="518"/>
      <c r="KZM15" s="518"/>
      <c r="KZN15" s="518"/>
      <c r="KZO15" s="518"/>
      <c r="KZP15" s="518"/>
      <c r="KZQ15" s="518"/>
      <c r="KZR15" s="518"/>
      <c r="KZS15" s="518"/>
      <c r="KZT15" s="518"/>
      <c r="KZU15" s="518"/>
      <c r="KZV15" s="518"/>
      <c r="KZW15" s="518"/>
      <c r="KZX15" s="518"/>
      <c r="KZY15" s="518"/>
      <c r="KZZ15" s="518"/>
      <c r="LAA15" s="518"/>
      <c r="LAB15" s="518"/>
      <c r="LAC15" s="518"/>
      <c r="LAD15" s="518"/>
      <c r="LAE15" s="518"/>
      <c r="LAF15" s="518"/>
      <c r="LAG15" s="518"/>
      <c r="LAH15" s="518"/>
      <c r="LAI15" s="518"/>
      <c r="LAJ15" s="518"/>
      <c r="LAK15" s="518"/>
      <c r="LAL15" s="518"/>
      <c r="LAM15" s="518"/>
      <c r="LAN15" s="518"/>
      <c r="LAO15" s="518"/>
      <c r="LAP15" s="518"/>
      <c r="LAQ15" s="518"/>
      <c r="LAR15" s="518"/>
      <c r="LAS15" s="518"/>
      <c r="LAT15" s="518"/>
      <c r="LAU15" s="518"/>
      <c r="LAV15" s="518"/>
      <c r="LAW15" s="518"/>
      <c r="LAX15" s="518"/>
      <c r="LAY15" s="518"/>
      <c r="LAZ15" s="518"/>
      <c r="LBA15" s="518"/>
      <c r="LBB15" s="518"/>
      <c r="LBC15" s="518"/>
      <c r="LBD15" s="518"/>
      <c r="LBE15" s="518"/>
      <c r="LBF15" s="518"/>
      <c r="LBG15" s="518"/>
      <c r="LBH15" s="518"/>
      <c r="LBI15" s="518"/>
      <c r="LBJ15" s="518"/>
      <c r="LBK15" s="518"/>
      <c r="LBL15" s="518"/>
      <c r="LBM15" s="518"/>
      <c r="LBN15" s="518"/>
      <c r="LBO15" s="518"/>
      <c r="LBP15" s="518"/>
      <c r="LBQ15" s="518"/>
      <c r="LBR15" s="518"/>
      <c r="LBS15" s="518"/>
      <c r="LBT15" s="518"/>
      <c r="LBU15" s="518"/>
      <c r="LBV15" s="518"/>
      <c r="LBW15" s="518"/>
      <c r="LBX15" s="518"/>
      <c r="LBY15" s="518"/>
      <c r="LBZ15" s="518"/>
      <c r="LCA15" s="518"/>
      <c r="LCB15" s="518"/>
      <c r="LCC15" s="518"/>
      <c r="LCD15" s="518"/>
      <c r="LCE15" s="518"/>
      <c r="LCF15" s="518"/>
      <c r="LCG15" s="518"/>
      <c r="LCH15" s="518"/>
      <c r="LCI15" s="518"/>
      <c r="LCJ15" s="518"/>
      <c r="LCK15" s="518"/>
      <c r="LCL15" s="518"/>
      <c r="LCM15" s="518"/>
      <c r="LCN15" s="518"/>
      <c r="LCO15" s="518"/>
      <c r="LCP15" s="518"/>
      <c r="LCQ15" s="518"/>
      <c r="LCR15" s="518"/>
      <c r="LCS15" s="518"/>
      <c r="LCT15" s="518"/>
      <c r="LCU15" s="518"/>
      <c r="LCV15" s="518"/>
      <c r="LCW15" s="518"/>
      <c r="LCX15" s="518"/>
      <c r="LCY15" s="518"/>
      <c r="LCZ15" s="518"/>
      <c r="LDA15" s="518"/>
      <c r="LDB15" s="518"/>
      <c r="LDC15" s="518"/>
      <c r="LDD15" s="518"/>
      <c r="LDE15" s="518"/>
      <c r="LDF15" s="518"/>
      <c r="LDG15" s="518"/>
      <c r="LDH15" s="518"/>
      <c r="LDI15" s="518"/>
      <c r="LDJ15" s="518"/>
      <c r="LDK15" s="518"/>
      <c r="LDL15" s="518"/>
      <c r="LDM15" s="518"/>
      <c r="LDN15" s="518"/>
      <c r="LDO15" s="518"/>
      <c r="LDP15" s="518"/>
      <c r="LDQ15" s="518"/>
      <c r="LDR15" s="518"/>
      <c r="LDS15" s="518"/>
      <c r="LDT15" s="518"/>
      <c r="LDU15" s="518"/>
      <c r="LDV15" s="518"/>
      <c r="LDW15" s="518"/>
      <c r="LDX15" s="518"/>
      <c r="LDY15" s="518"/>
      <c r="LDZ15" s="518"/>
      <c r="LEA15" s="518"/>
      <c r="LEB15" s="518"/>
      <c r="LEC15" s="518"/>
      <c r="LED15" s="518"/>
      <c r="LEE15" s="518"/>
      <c r="LEF15" s="518"/>
      <c r="LEG15" s="518"/>
      <c r="LEH15" s="518"/>
      <c r="LEI15" s="518"/>
      <c r="LEJ15" s="518"/>
      <c r="LEK15" s="518"/>
      <c r="LEL15" s="518"/>
      <c r="LEM15" s="518"/>
      <c r="LEN15" s="518"/>
      <c r="LEO15" s="518"/>
      <c r="LEP15" s="518"/>
      <c r="LEQ15" s="518"/>
      <c r="LER15" s="518"/>
      <c r="LES15" s="518"/>
      <c r="LET15" s="518"/>
      <c r="LEU15" s="518"/>
      <c r="LEV15" s="518"/>
      <c r="LEW15" s="518"/>
      <c r="LEX15" s="518"/>
      <c r="LEY15" s="518"/>
      <c r="LEZ15" s="518"/>
      <c r="LFA15" s="518"/>
      <c r="LFB15" s="518"/>
      <c r="LFC15" s="518"/>
      <c r="LFD15" s="518"/>
      <c r="LFE15" s="518"/>
      <c r="LFF15" s="518"/>
      <c r="LFG15" s="518"/>
      <c r="LFH15" s="518"/>
      <c r="LFI15" s="518"/>
      <c r="LFJ15" s="518"/>
      <c r="LFK15" s="518"/>
      <c r="LFL15" s="518"/>
      <c r="LFM15" s="518"/>
      <c r="LFN15" s="518"/>
      <c r="LFO15" s="518"/>
      <c r="LFP15" s="518"/>
      <c r="LFQ15" s="518"/>
      <c r="LFR15" s="518"/>
      <c r="LFS15" s="518"/>
      <c r="LFT15" s="518"/>
      <c r="LFU15" s="518"/>
      <c r="LFV15" s="518"/>
      <c r="LFW15" s="518"/>
      <c r="LFX15" s="518"/>
      <c r="LFY15" s="518"/>
      <c r="LFZ15" s="518"/>
      <c r="LGA15" s="518"/>
      <c r="LGB15" s="518"/>
      <c r="LGC15" s="518"/>
      <c r="LGD15" s="518"/>
      <c r="LGE15" s="518"/>
      <c r="LGF15" s="518"/>
      <c r="LGG15" s="518"/>
      <c r="LGH15" s="518"/>
      <c r="LGI15" s="518"/>
      <c r="LGJ15" s="518"/>
      <c r="LGK15" s="518"/>
      <c r="LGL15" s="518"/>
      <c r="LGM15" s="518"/>
      <c r="LGN15" s="518"/>
      <c r="LGO15" s="518"/>
      <c r="LGP15" s="518"/>
      <c r="LGQ15" s="518"/>
      <c r="LGR15" s="518"/>
      <c r="LGS15" s="518"/>
      <c r="LGT15" s="518"/>
      <c r="LGU15" s="518"/>
      <c r="LGV15" s="518"/>
      <c r="LGW15" s="518"/>
      <c r="LGX15" s="518"/>
      <c r="LGY15" s="518"/>
      <c r="LGZ15" s="518"/>
      <c r="LHA15" s="518"/>
      <c r="LHB15" s="518"/>
      <c r="LHC15" s="518"/>
      <c r="LHD15" s="518"/>
      <c r="LHE15" s="518"/>
      <c r="LHF15" s="518"/>
      <c r="LHG15" s="518"/>
      <c r="LHH15" s="518"/>
      <c r="LHI15" s="518"/>
      <c r="LHJ15" s="518"/>
      <c r="LHK15" s="518"/>
      <c r="LHL15" s="518"/>
      <c r="LHM15" s="518"/>
      <c r="LHN15" s="518"/>
      <c r="LHO15" s="518"/>
      <c r="LHP15" s="518"/>
      <c r="LHQ15" s="518"/>
      <c r="LHR15" s="518"/>
      <c r="LHS15" s="518"/>
      <c r="LHT15" s="518"/>
      <c r="LHU15" s="518"/>
      <c r="LHV15" s="518"/>
      <c r="LHW15" s="518"/>
      <c r="LHX15" s="518"/>
      <c r="LHY15" s="518"/>
      <c r="LHZ15" s="518"/>
      <c r="LIA15" s="518"/>
      <c r="LIB15" s="518"/>
      <c r="LIC15" s="518"/>
      <c r="LID15" s="518"/>
      <c r="LIE15" s="518"/>
      <c r="LIF15" s="518"/>
      <c r="LIG15" s="518"/>
      <c r="LIH15" s="518"/>
      <c r="LII15" s="518"/>
      <c r="LIJ15" s="518"/>
      <c r="LIK15" s="518"/>
      <c r="LIL15" s="518"/>
      <c r="LIM15" s="518"/>
      <c r="LIN15" s="518"/>
      <c r="LIO15" s="518"/>
      <c r="LIP15" s="518"/>
      <c r="LIQ15" s="518"/>
      <c r="LIR15" s="518"/>
      <c r="LIS15" s="518"/>
      <c r="LIT15" s="518"/>
      <c r="LIU15" s="518"/>
      <c r="LIV15" s="518"/>
      <c r="LIW15" s="518"/>
      <c r="LIX15" s="518"/>
      <c r="LIY15" s="518"/>
      <c r="LIZ15" s="518"/>
      <c r="LJA15" s="518"/>
      <c r="LJB15" s="518"/>
      <c r="LJC15" s="518"/>
      <c r="LJD15" s="518"/>
      <c r="LJE15" s="518"/>
      <c r="LJF15" s="518"/>
      <c r="LJG15" s="518"/>
      <c r="LJH15" s="518"/>
      <c r="LJI15" s="518"/>
      <c r="LJJ15" s="518"/>
      <c r="LJK15" s="518"/>
      <c r="LJL15" s="518"/>
      <c r="LJM15" s="518"/>
      <c r="LJN15" s="518"/>
      <c r="LJO15" s="518"/>
      <c r="LJP15" s="518"/>
      <c r="LJQ15" s="518"/>
      <c r="LJR15" s="518"/>
      <c r="LJS15" s="518"/>
      <c r="LJT15" s="518"/>
      <c r="LJU15" s="518"/>
      <c r="LJV15" s="518"/>
      <c r="LJW15" s="518"/>
      <c r="LJX15" s="518"/>
      <c r="LJY15" s="518"/>
      <c r="LJZ15" s="518"/>
      <c r="LKA15" s="518"/>
      <c r="LKB15" s="518"/>
      <c r="LKC15" s="518"/>
      <c r="LKD15" s="518"/>
      <c r="LKE15" s="518"/>
      <c r="LKF15" s="518"/>
      <c r="LKG15" s="518"/>
      <c r="LKH15" s="518"/>
      <c r="LKI15" s="518"/>
      <c r="LKJ15" s="518"/>
      <c r="LKK15" s="518"/>
      <c r="LKL15" s="518"/>
      <c r="LKM15" s="518"/>
      <c r="LKN15" s="518"/>
      <c r="LKO15" s="518"/>
      <c r="LKP15" s="518"/>
      <c r="LKQ15" s="518"/>
      <c r="LKR15" s="518"/>
      <c r="LKS15" s="518"/>
      <c r="LKT15" s="518"/>
      <c r="LKU15" s="518"/>
      <c r="LKV15" s="518"/>
      <c r="LKW15" s="518"/>
      <c r="LKX15" s="518"/>
      <c r="LKY15" s="518"/>
      <c r="LKZ15" s="518"/>
      <c r="LLA15" s="518"/>
      <c r="LLB15" s="518"/>
      <c r="LLC15" s="518"/>
      <c r="LLD15" s="518"/>
      <c r="LLE15" s="518"/>
      <c r="LLF15" s="518"/>
      <c r="LLG15" s="518"/>
      <c r="LLH15" s="518"/>
      <c r="LLI15" s="518"/>
      <c r="LLJ15" s="518"/>
      <c r="LLK15" s="518"/>
      <c r="LLL15" s="518"/>
      <c r="LLM15" s="518"/>
      <c r="LLN15" s="518"/>
      <c r="LLO15" s="518"/>
      <c r="LLP15" s="518"/>
      <c r="LLQ15" s="518"/>
      <c r="LLR15" s="518"/>
      <c r="LLS15" s="518"/>
      <c r="LLT15" s="518"/>
      <c r="LLU15" s="518"/>
      <c r="LLV15" s="518"/>
      <c r="LLW15" s="518"/>
      <c r="LLX15" s="518"/>
      <c r="LLY15" s="518"/>
      <c r="LLZ15" s="518"/>
      <c r="LMA15" s="518"/>
      <c r="LMB15" s="518"/>
      <c r="LMC15" s="518"/>
      <c r="LMD15" s="518"/>
      <c r="LME15" s="518"/>
      <c r="LMF15" s="518"/>
      <c r="LMG15" s="518"/>
      <c r="LMH15" s="518"/>
      <c r="LMI15" s="518"/>
      <c r="LMJ15" s="518"/>
      <c r="LMK15" s="518"/>
      <c r="LML15" s="518"/>
      <c r="LMM15" s="518"/>
      <c r="LMN15" s="518"/>
      <c r="LMO15" s="518"/>
      <c r="LMP15" s="518"/>
      <c r="LMQ15" s="518"/>
      <c r="LMR15" s="518"/>
      <c r="LMS15" s="518"/>
      <c r="LMT15" s="518"/>
      <c r="LMU15" s="518"/>
      <c r="LMV15" s="518"/>
      <c r="LMW15" s="518"/>
      <c r="LMX15" s="518"/>
      <c r="LMY15" s="518"/>
      <c r="LMZ15" s="518"/>
      <c r="LNA15" s="518"/>
      <c r="LNB15" s="518"/>
      <c r="LNC15" s="518"/>
      <c r="LND15" s="518"/>
      <c r="LNE15" s="518"/>
      <c r="LNF15" s="518"/>
      <c r="LNG15" s="518"/>
      <c r="LNH15" s="518"/>
      <c r="LNI15" s="518"/>
      <c r="LNJ15" s="518"/>
      <c r="LNK15" s="518"/>
      <c r="LNL15" s="518"/>
      <c r="LNM15" s="518"/>
      <c r="LNN15" s="518"/>
      <c r="LNO15" s="518"/>
      <c r="LNP15" s="518"/>
      <c r="LNQ15" s="518"/>
      <c r="LNR15" s="518"/>
      <c r="LNS15" s="518"/>
      <c r="LNT15" s="518"/>
      <c r="LNU15" s="518"/>
      <c r="LNV15" s="518"/>
      <c r="LNW15" s="518"/>
      <c r="LNX15" s="518"/>
      <c r="LNY15" s="518"/>
      <c r="LNZ15" s="518"/>
      <c r="LOA15" s="518"/>
      <c r="LOB15" s="518"/>
      <c r="LOC15" s="518"/>
      <c r="LOD15" s="518"/>
      <c r="LOE15" s="518"/>
      <c r="LOF15" s="518"/>
      <c r="LOG15" s="518"/>
      <c r="LOH15" s="518"/>
      <c r="LOI15" s="518"/>
      <c r="LOJ15" s="518"/>
      <c r="LOK15" s="518"/>
      <c r="LOL15" s="518"/>
      <c r="LOM15" s="518"/>
      <c r="LON15" s="518"/>
      <c r="LOO15" s="518"/>
      <c r="LOP15" s="518"/>
      <c r="LOQ15" s="518"/>
      <c r="LOR15" s="518"/>
      <c r="LOS15" s="518"/>
      <c r="LOT15" s="518"/>
      <c r="LOU15" s="518"/>
      <c r="LOV15" s="518"/>
      <c r="LOW15" s="518"/>
      <c r="LOX15" s="518"/>
      <c r="LOY15" s="518"/>
      <c r="LOZ15" s="518"/>
      <c r="LPA15" s="518"/>
      <c r="LPB15" s="518"/>
      <c r="LPC15" s="518"/>
      <c r="LPD15" s="518"/>
      <c r="LPE15" s="518"/>
      <c r="LPF15" s="518"/>
      <c r="LPG15" s="518"/>
      <c r="LPH15" s="518"/>
      <c r="LPI15" s="518"/>
      <c r="LPJ15" s="518"/>
      <c r="LPK15" s="518"/>
      <c r="LPL15" s="518"/>
      <c r="LPM15" s="518"/>
      <c r="LPN15" s="518"/>
      <c r="LPO15" s="518"/>
      <c r="LPP15" s="518"/>
      <c r="LPQ15" s="518"/>
      <c r="LPR15" s="518"/>
      <c r="LPS15" s="518"/>
      <c r="LPT15" s="518"/>
      <c r="LPU15" s="518"/>
      <c r="LPV15" s="518"/>
      <c r="LPW15" s="518"/>
      <c r="LPX15" s="518"/>
      <c r="LPY15" s="518"/>
      <c r="LPZ15" s="518"/>
      <c r="LQA15" s="518"/>
      <c r="LQB15" s="518"/>
      <c r="LQC15" s="518"/>
      <c r="LQD15" s="518"/>
      <c r="LQE15" s="518"/>
      <c r="LQF15" s="518"/>
      <c r="LQG15" s="518"/>
      <c r="LQH15" s="518"/>
      <c r="LQI15" s="518"/>
      <c r="LQJ15" s="518"/>
      <c r="LQK15" s="518"/>
      <c r="LQL15" s="518"/>
      <c r="LQM15" s="518"/>
      <c r="LQN15" s="518"/>
      <c r="LQO15" s="518"/>
      <c r="LQP15" s="518"/>
      <c r="LQQ15" s="518"/>
      <c r="LQR15" s="518"/>
      <c r="LQS15" s="518"/>
      <c r="LQT15" s="518"/>
      <c r="LQU15" s="518"/>
      <c r="LQV15" s="518"/>
      <c r="LQW15" s="518"/>
      <c r="LQX15" s="518"/>
      <c r="LQY15" s="518"/>
      <c r="LQZ15" s="518"/>
      <c r="LRA15" s="518"/>
      <c r="LRB15" s="518"/>
      <c r="LRC15" s="518"/>
      <c r="LRD15" s="518"/>
      <c r="LRE15" s="518"/>
      <c r="LRF15" s="518"/>
      <c r="LRG15" s="518"/>
      <c r="LRH15" s="518"/>
      <c r="LRI15" s="518"/>
      <c r="LRJ15" s="518"/>
      <c r="LRK15" s="518"/>
      <c r="LRL15" s="518"/>
      <c r="LRM15" s="518"/>
      <c r="LRN15" s="518"/>
      <c r="LRO15" s="518"/>
      <c r="LRP15" s="518"/>
      <c r="LRQ15" s="518"/>
      <c r="LRR15" s="518"/>
      <c r="LRS15" s="518"/>
      <c r="LRT15" s="518"/>
      <c r="LRU15" s="518"/>
      <c r="LRV15" s="518"/>
      <c r="LRW15" s="518"/>
      <c r="LRX15" s="518"/>
      <c r="LRY15" s="518"/>
      <c r="LRZ15" s="518"/>
      <c r="LSA15" s="518"/>
      <c r="LSB15" s="518"/>
      <c r="LSC15" s="518"/>
      <c r="LSD15" s="518"/>
      <c r="LSE15" s="518"/>
      <c r="LSF15" s="518"/>
      <c r="LSG15" s="518"/>
      <c r="LSH15" s="518"/>
      <c r="LSI15" s="518"/>
      <c r="LSJ15" s="518"/>
      <c r="LSK15" s="518"/>
      <c r="LSL15" s="518"/>
      <c r="LSM15" s="518"/>
      <c r="LSN15" s="518"/>
      <c r="LSO15" s="518"/>
      <c r="LSP15" s="518"/>
      <c r="LSQ15" s="518"/>
      <c r="LSR15" s="518"/>
      <c r="LSS15" s="518"/>
      <c r="LST15" s="518"/>
      <c r="LSU15" s="518"/>
      <c r="LSV15" s="518"/>
      <c r="LSW15" s="518"/>
      <c r="LSX15" s="518"/>
      <c r="LSY15" s="518"/>
      <c r="LSZ15" s="518"/>
      <c r="LTA15" s="518"/>
      <c r="LTB15" s="518"/>
      <c r="LTC15" s="518"/>
      <c r="LTD15" s="518"/>
      <c r="LTE15" s="518"/>
      <c r="LTF15" s="518"/>
      <c r="LTG15" s="518"/>
      <c r="LTH15" s="518"/>
      <c r="LTI15" s="518"/>
      <c r="LTJ15" s="518"/>
      <c r="LTK15" s="518"/>
      <c r="LTL15" s="518"/>
      <c r="LTM15" s="518"/>
      <c r="LTN15" s="518"/>
      <c r="LTO15" s="518"/>
      <c r="LTP15" s="518"/>
      <c r="LTQ15" s="518"/>
      <c r="LTR15" s="518"/>
      <c r="LTS15" s="518"/>
      <c r="LTT15" s="518"/>
      <c r="LTU15" s="518"/>
      <c r="LTV15" s="518"/>
      <c r="LTW15" s="518"/>
      <c r="LTX15" s="518"/>
      <c r="LTY15" s="518"/>
      <c r="LTZ15" s="518"/>
      <c r="LUA15" s="518"/>
      <c r="LUB15" s="518"/>
      <c r="LUC15" s="518"/>
      <c r="LUD15" s="518"/>
      <c r="LUE15" s="518"/>
      <c r="LUF15" s="518"/>
      <c r="LUG15" s="518"/>
      <c r="LUH15" s="518"/>
      <c r="LUI15" s="518"/>
      <c r="LUJ15" s="518"/>
      <c r="LUK15" s="518"/>
      <c r="LUL15" s="518"/>
      <c r="LUM15" s="518"/>
      <c r="LUN15" s="518"/>
      <c r="LUO15" s="518"/>
      <c r="LUP15" s="518"/>
      <c r="LUQ15" s="518"/>
      <c r="LUR15" s="518"/>
      <c r="LUS15" s="518"/>
      <c r="LUT15" s="518"/>
      <c r="LUU15" s="518"/>
      <c r="LUV15" s="518"/>
      <c r="LUW15" s="518"/>
      <c r="LUX15" s="518"/>
      <c r="LUY15" s="518"/>
      <c r="LUZ15" s="518"/>
      <c r="LVA15" s="518"/>
      <c r="LVB15" s="518"/>
      <c r="LVC15" s="518"/>
      <c r="LVD15" s="518"/>
      <c r="LVE15" s="518"/>
      <c r="LVF15" s="518"/>
      <c r="LVG15" s="518"/>
      <c r="LVH15" s="518"/>
      <c r="LVI15" s="518"/>
      <c r="LVJ15" s="518"/>
      <c r="LVK15" s="518"/>
      <c r="LVL15" s="518"/>
      <c r="LVM15" s="518"/>
      <c r="LVN15" s="518"/>
      <c r="LVO15" s="518"/>
      <c r="LVP15" s="518"/>
      <c r="LVQ15" s="518"/>
      <c r="LVR15" s="518"/>
      <c r="LVS15" s="518"/>
      <c r="LVT15" s="518"/>
      <c r="LVU15" s="518"/>
      <c r="LVV15" s="518"/>
      <c r="LVW15" s="518"/>
      <c r="LVX15" s="518"/>
      <c r="LVY15" s="518"/>
      <c r="LVZ15" s="518"/>
      <c r="LWA15" s="518"/>
      <c r="LWB15" s="518"/>
      <c r="LWC15" s="518"/>
      <c r="LWD15" s="518"/>
      <c r="LWE15" s="518"/>
      <c r="LWF15" s="518"/>
      <c r="LWG15" s="518"/>
      <c r="LWH15" s="518"/>
      <c r="LWI15" s="518"/>
      <c r="LWJ15" s="518"/>
      <c r="LWK15" s="518"/>
      <c r="LWL15" s="518"/>
      <c r="LWM15" s="518"/>
      <c r="LWN15" s="518"/>
      <c r="LWO15" s="518"/>
      <c r="LWP15" s="518"/>
      <c r="LWQ15" s="518"/>
      <c r="LWR15" s="518"/>
      <c r="LWS15" s="518"/>
      <c r="LWT15" s="518"/>
      <c r="LWU15" s="518"/>
      <c r="LWV15" s="518"/>
      <c r="LWW15" s="518"/>
      <c r="LWX15" s="518"/>
      <c r="LWY15" s="518"/>
      <c r="LWZ15" s="518"/>
      <c r="LXA15" s="518"/>
      <c r="LXB15" s="518"/>
      <c r="LXC15" s="518"/>
      <c r="LXD15" s="518"/>
      <c r="LXE15" s="518"/>
      <c r="LXF15" s="518"/>
      <c r="LXG15" s="518"/>
      <c r="LXH15" s="518"/>
      <c r="LXI15" s="518"/>
      <c r="LXJ15" s="518"/>
      <c r="LXK15" s="518"/>
      <c r="LXL15" s="518"/>
      <c r="LXM15" s="518"/>
      <c r="LXN15" s="518"/>
      <c r="LXO15" s="518"/>
      <c r="LXP15" s="518"/>
      <c r="LXQ15" s="518"/>
      <c r="LXR15" s="518"/>
      <c r="LXS15" s="518"/>
      <c r="LXT15" s="518"/>
      <c r="LXU15" s="518"/>
      <c r="LXV15" s="518"/>
      <c r="LXW15" s="518"/>
      <c r="LXX15" s="518"/>
      <c r="LXY15" s="518"/>
      <c r="LXZ15" s="518"/>
      <c r="LYA15" s="518"/>
      <c r="LYB15" s="518"/>
      <c r="LYC15" s="518"/>
      <c r="LYD15" s="518"/>
      <c r="LYE15" s="518"/>
      <c r="LYF15" s="518"/>
      <c r="LYG15" s="518"/>
      <c r="LYH15" s="518"/>
      <c r="LYI15" s="518"/>
      <c r="LYJ15" s="518"/>
      <c r="LYK15" s="518"/>
      <c r="LYL15" s="518"/>
      <c r="LYM15" s="518"/>
      <c r="LYN15" s="518"/>
      <c r="LYO15" s="518"/>
      <c r="LYP15" s="518"/>
      <c r="LYQ15" s="518"/>
      <c r="LYR15" s="518"/>
      <c r="LYS15" s="518"/>
      <c r="LYT15" s="518"/>
      <c r="LYU15" s="518"/>
      <c r="LYV15" s="518"/>
      <c r="LYW15" s="518"/>
      <c r="LYX15" s="518"/>
      <c r="LYY15" s="518"/>
      <c r="LYZ15" s="518"/>
      <c r="LZA15" s="518"/>
      <c r="LZB15" s="518"/>
      <c r="LZC15" s="518"/>
      <c r="LZD15" s="518"/>
      <c r="LZE15" s="518"/>
      <c r="LZF15" s="518"/>
      <c r="LZG15" s="518"/>
      <c r="LZH15" s="518"/>
      <c r="LZI15" s="518"/>
      <c r="LZJ15" s="518"/>
      <c r="LZK15" s="518"/>
      <c r="LZL15" s="518"/>
      <c r="LZM15" s="518"/>
      <c r="LZN15" s="518"/>
      <c r="LZO15" s="518"/>
      <c r="LZP15" s="518"/>
      <c r="LZQ15" s="518"/>
      <c r="LZR15" s="518"/>
      <c r="LZS15" s="518"/>
      <c r="LZT15" s="518"/>
      <c r="LZU15" s="518"/>
      <c r="LZV15" s="518"/>
      <c r="LZW15" s="518"/>
      <c r="LZX15" s="518"/>
      <c r="LZY15" s="518"/>
      <c r="LZZ15" s="518"/>
      <c r="MAA15" s="518"/>
      <c r="MAB15" s="518"/>
      <c r="MAC15" s="518"/>
      <c r="MAD15" s="518"/>
      <c r="MAE15" s="518"/>
      <c r="MAF15" s="518"/>
      <c r="MAG15" s="518"/>
      <c r="MAH15" s="518"/>
      <c r="MAI15" s="518"/>
      <c r="MAJ15" s="518"/>
      <c r="MAK15" s="518"/>
      <c r="MAL15" s="518"/>
      <c r="MAM15" s="518"/>
      <c r="MAN15" s="518"/>
      <c r="MAO15" s="518"/>
      <c r="MAP15" s="518"/>
      <c r="MAQ15" s="518"/>
      <c r="MAR15" s="518"/>
      <c r="MAS15" s="518"/>
      <c r="MAT15" s="518"/>
      <c r="MAU15" s="518"/>
      <c r="MAV15" s="518"/>
      <c r="MAW15" s="518"/>
      <c r="MAX15" s="518"/>
      <c r="MAY15" s="518"/>
      <c r="MAZ15" s="518"/>
      <c r="MBA15" s="518"/>
      <c r="MBB15" s="518"/>
      <c r="MBC15" s="518"/>
      <c r="MBD15" s="518"/>
      <c r="MBE15" s="518"/>
      <c r="MBF15" s="518"/>
      <c r="MBG15" s="518"/>
      <c r="MBH15" s="518"/>
      <c r="MBI15" s="518"/>
      <c r="MBJ15" s="518"/>
      <c r="MBK15" s="518"/>
      <c r="MBL15" s="518"/>
      <c r="MBM15" s="518"/>
      <c r="MBN15" s="518"/>
      <c r="MBO15" s="518"/>
      <c r="MBP15" s="518"/>
      <c r="MBQ15" s="518"/>
      <c r="MBR15" s="518"/>
      <c r="MBS15" s="518"/>
      <c r="MBT15" s="518"/>
      <c r="MBU15" s="518"/>
      <c r="MBV15" s="518"/>
      <c r="MBW15" s="518"/>
      <c r="MBX15" s="518"/>
      <c r="MBY15" s="518"/>
      <c r="MBZ15" s="518"/>
      <c r="MCA15" s="518"/>
      <c r="MCB15" s="518"/>
      <c r="MCC15" s="518"/>
      <c r="MCD15" s="518"/>
      <c r="MCE15" s="518"/>
      <c r="MCF15" s="518"/>
      <c r="MCG15" s="518"/>
      <c r="MCH15" s="518"/>
      <c r="MCI15" s="518"/>
      <c r="MCJ15" s="518"/>
      <c r="MCK15" s="518"/>
      <c r="MCL15" s="518"/>
      <c r="MCM15" s="518"/>
      <c r="MCN15" s="518"/>
      <c r="MCO15" s="518"/>
      <c r="MCP15" s="518"/>
      <c r="MCQ15" s="518"/>
      <c r="MCR15" s="518"/>
      <c r="MCS15" s="518"/>
      <c r="MCT15" s="518"/>
      <c r="MCU15" s="518"/>
      <c r="MCV15" s="518"/>
      <c r="MCW15" s="518"/>
      <c r="MCX15" s="518"/>
      <c r="MCY15" s="518"/>
      <c r="MCZ15" s="518"/>
      <c r="MDA15" s="518"/>
      <c r="MDB15" s="518"/>
      <c r="MDC15" s="518"/>
      <c r="MDD15" s="518"/>
      <c r="MDE15" s="518"/>
      <c r="MDF15" s="518"/>
      <c r="MDG15" s="518"/>
      <c r="MDH15" s="518"/>
      <c r="MDI15" s="518"/>
      <c r="MDJ15" s="518"/>
      <c r="MDK15" s="518"/>
      <c r="MDL15" s="518"/>
      <c r="MDM15" s="518"/>
      <c r="MDN15" s="518"/>
      <c r="MDO15" s="518"/>
      <c r="MDP15" s="518"/>
      <c r="MDQ15" s="518"/>
      <c r="MDR15" s="518"/>
      <c r="MDS15" s="518"/>
      <c r="MDT15" s="518"/>
      <c r="MDU15" s="518"/>
      <c r="MDV15" s="518"/>
      <c r="MDW15" s="518"/>
      <c r="MDX15" s="518"/>
      <c r="MDY15" s="518"/>
      <c r="MDZ15" s="518"/>
      <c r="MEA15" s="518"/>
      <c r="MEB15" s="518"/>
      <c r="MEC15" s="518"/>
      <c r="MED15" s="518"/>
      <c r="MEE15" s="518"/>
      <c r="MEF15" s="518"/>
      <c r="MEG15" s="518"/>
      <c r="MEH15" s="518"/>
      <c r="MEI15" s="518"/>
      <c r="MEJ15" s="518"/>
      <c r="MEK15" s="518"/>
      <c r="MEL15" s="518"/>
      <c r="MEM15" s="518"/>
      <c r="MEN15" s="518"/>
      <c r="MEO15" s="518"/>
      <c r="MEP15" s="518"/>
      <c r="MEQ15" s="518"/>
      <c r="MER15" s="518"/>
      <c r="MES15" s="518"/>
      <c r="MET15" s="518"/>
      <c r="MEU15" s="518"/>
      <c r="MEV15" s="518"/>
      <c r="MEW15" s="518"/>
      <c r="MEX15" s="518"/>
      <c r="MEY15" s="518"/>
      <c r="MEZ15" s="518"/>
      <c r="MFA15" s="518"/>
      <c r="MFB15" s="518"/>
      <c r="MFC15" s="518"/>
      <c r="MFD15" s="518"/>
      <c r="MFE15" s="518"/>
      <c r="MFF15" s="518"/>
      <c r="MFG15" s="518"/>
      <c r="MFH15" s="518"/>
      <c r="MFI15" s="518"/>
      <c r="MFJ15" s="518"/>
      <c r="MFK15" s="518"/>
      <c r="MFL15" s="518"/>
      <c r="MFM15" s="518"/>
      <c r="MFN15" s="518"/>
      <c r="MFO15" s="518"/>
      <c r="MFP15" s="518"/>
      <c r="MFQ15" s="518"/>
      <c r="MFR15" s="518"/>
      <c r="MFS15" s="518"/>
      <c r="MFT15" s="518"/>
      <c r="MFU15" s="518"/>
      <c r="MFV15" s="518"/>
      <c r="MFW15" s="518"/>
      <c r="MFX15" s="518"/>
      <c r="MFY15" s="518"/>
      <c r="MFZ15" s="518"/>
      <c r="MGA15" s="518"/>
      <c r="MGB15" s="518"/>
      <c r="MGC15" s="518"/>
      <c r="MGD15" s="518"/>
      <c r="MGE15" s="518"/>
      <c r="MGF15" s="518"/>
      <c r="MGG15" s="518"/>
      <c r="MGH15" s="518"/>
      <c r="MGI15" s="518"/>
      <c r="MGJ15" s="518"/>
      <c r="MGK15" s="518"/>
      <c r="MGL15" s="518"/>
      <c r="MGM15" s="518"/>
      <c r="MGN15" s="518"/>
      <c r="MGO15" s="518"/>
      <c r="MGP15" s="518"/>
      <c r="MGQ15" s="518"/>
      <c r="MGR15" s="518"/>
      <c r="MGS15" s="518"/>
      <c r="MGT15" s="518"/>
      <c r="MGU15" s="518"/>
      <c r="MGV15" s="518"/>
      <c r="MGW15" s="518"/>
      <c r="MGX15" s="518"/>
      <c r="MGY15" s="518"/>
      <c r="MGZ15" s="518"/>
      <c r="MHA15" s="518"/>
      <c r="MHB15" s="518"/>
      <c r="MHC15" s="518"/>
      <c r="MHD15" s="518"/>
      <c r="MHE15" s="518"/>
      <c r="MHF15" s="518"/>
      <c r="MHG15" s="518"/>
      <c r="MHH15" s="518"/>
      <c r="MHI15" s="518"/>
      <c r="MHJ15" s="518"/>
      <c r="MHK15" s="518"/>
      <c r="MHL15" s="518"/>
      <c r="MHM15" s="518"/>
      <c r="MHN15" s="518"/>
      <c r="MHO15" s="518"/>
      <c r="MHP15" s="518"/>
      <c r="MHQ15" s="518"/>
      <c r="MHR15" s="518"/>
      <c r="MHS15" s="518"/>
      <c r="MHT15" s="518"/>
      <c r="MHU15" s="518"/>
      <c r="MHV15" s="518"/>
      <c r="MHW15" s="518"/>
      <c r="MHX15" s="518"/>
      <c r="MHY15" s="518"/>
      <c r="MHZ15" s="518"/>
      <c r="MIA15" s="518"/>
      <c r="MIB15" s="518"/>
      <c r="MIC15" s="518"/>
      <c r="MID15" s="518"/>
      <c r="MIE15" s="518"/>
      <c r="MIF15" s="518"/>
      <c r="MIG15" s="518"/>
      <c r="MIH15" s="518"/>
      <c r="MII15" s="518"/>
      <c r="MIJ15" s="518"/>
      <c r="MIK15" s="518"/>
      <c r="MIL15" s="518"/>
      <c r="MIM15" s="518"/>
      <c r="MIN15" s="518"/>
      <c r="MIO15" s="518"/>
      <c r="MIP15" s="518"/>
      <c r="MIQ15" s="518"/>
      <c r="MIR15" s="518"/>
      <c r="MIS15" s="518"/>
      <c r="MIT15" s="518"/>
      <c r="MIU15" s="518"/>
      <c r="MIV15" s="518"/>
      <c r="MIW15" s="518"/>
      <c r="MIX15" s="518"/>
      <c r="MIY15" s="518"/>
      <c r="MIZ15" s="518"/>
      <c r="MJA15" s="518"/>
      <c r="MJB15" s="518"/>
      <c r="MJC15" s="518"/>
      <c r="MJD15" s="518"/>
      <c r="MJE15" s="518"/>
      <c r="MJF15" s="518"/>
      <c r="MJG15" s="518"/>
      <c r="MJH15" s="518"/>
      <c r="MJI15" s="518"/>
      <c r="MJJ15" s="518"/>
      <c r="MJK15" s="518"/>
      <c r="MJL15" s="518"/>
      <c r="MJM15" s="518"/>
      <c r="MJN15" s="518"/>
      <c r="MJO15" s="518"/>
      <c r="MJP15" s="518"/>
      <c r="MJQ15" s="518"/>
      <c r="MJR15" s="518"/>
      <c r="MJS15" s="518"/>
      <c r="MJT15" s="518"/>
      <c r="MJU15" s="518"/>
      <c r="MJV15" s="518"/>
      <c r="MJW15" s="518"/>
      <c r="MJX15" s="518"/>
      <c r="MJY15" s="518"/>
      <c r="MJZ15" s="518"/>
      <c r="MKA15" s="518"/>
      <c r="MKB15" s="518"/>
      <c r="MKC15" s="518"/>
      <c r="MKD15" s="518"/>
      <c r="MKE15" s="518"/>
      <c r="MKF15" s="518"/>
      <c r="MKG15" s="518"/>
      <c r="MKH15" s="518"/>
      <c r="MKI15" s="518"/>
      <c r="MKJ15" s="518"/>
      <c r="MKK15" s="518"/>
      <c r="MKL15" s="518"/>
      <c r="MKM15" s="518"/>
      <c r="MKN15" s="518"/>
      <c r="MKO15" s="518"/>
      <c r="MKP15" s="518"/>
      <c r="MKQ15" s="518"/>
      <c r="MKR15" s="518"/>
      <c r="MKS15" s="518"/>
      <c r="MKT15" s="518"/>
      <c r="MKU15" s="518"/>
      <c r="MKV15" s="518"/>
      <c r="MKW15" s="518"/>
      <c r="MKX15" s="518"/>
      <c r="MKY15" s="518"/>
      <c r="MKZ15" s="518"/>
      <c r="MLA15" s="518"/>
      <c r="MLB15" s="518"/>
      <c r="MLC15" s="518"/>
      <c r="MLD15" s="518"/>
      <c r="MLE15" s="518"/>
      <c r="MLF15" s="518"/>
      <c r="MLG15" s="518"/>
      <c r="MLH15" s="518"/>
      <c r="MLI15" s="518"/>
      <c r="MLJ15" s="518"/>
      <c r="MLK15" s="518"/>
      <c r="MLL15" s="518"/>
      <c r="MLM15" s="518"/>
      <c r="MLN15" s="518"/>
      <c r="MLO15" s="518"/>
      <c r="MLP15" s="518"/>
      <c r="MLQ15" s="518"/>
      <c r="MLR15" s="518"/>
      <c r="MLS15" s="518"/>
      <c r="MLT15" s="518"/>
      <c r="MLU15" s="518"/>
      <c r="MLV15" s="518"/>
      <c r="MLW15" s="518"/>
      <c r="MLX15" s="518"/>
      <c r="MLY15" s="518"/>
      <c r="MLZ15" s="518"/>
      <c r="MMA15" s="518"/>
      <c r="MMB15" s="518"/>
      <c r="MMC15" s="518"/>
      <c r="MMD15" s="518"/>
      <c r="MME15" s="518"/>
      <c r="MMF15" s="518"/>
      <c r="MMG15" s="518"/>
      <c r="MMH15" s="518"/>
      <c r="MMI15" s="518"/>
      <c r="MMJ15" s="518"/>
      <c r="MMK15" s="518"/>
      <c r="MML15" s="518"/>
      <c r="MMM15" s="518"/>
      <c r="MMN15" s="518"/>
      <c r="MMO15" s="518"/>
      <c r="MMP15" s="518"/>
      <c r="MMQ15" s="518"/>
      <c r="MMR15" s="518"/>
      <c r="MMS15" s="518"/>
      <c r="MMT15" s="518"/>
      <c r="MMU15" s="518"/>
      <c r="MMV15" s="518"/>
      <c r="MMW15" s="518"/>
      <c r="MMX15" s="518"/>
      <c r="MMY15" s="518"/>
      <c r="MMZ15" s="518"/>
      <c r="MNA15" s="518"/>
      <c r="MNB15" s="518"/>
      <c r="MNC15" s="518"/>
      <c r="MND15" s="518"/>
      <c r="MNE15" s="518"/>
      <c r="MNF15" s="518"/>
      <c r="MNG15" s="518"/>
      <c r="MNH15" s="518"/>
      <c r="MNI15" s="518"/>
      <c r="MNJ15" s="518"/>
      <c r="MNK15" s="518"/>
      <c r="MNL15" s="518"/>
      <c r="MNM15" s="518"/>
      <c r="MNN15" s="518"/>
      <c r="MNO15" s="518"/>
      <c r="MNP15" s="518"/>
      <c r="MNQ15" s="518"/>
      <c r="MNR15" s="518"/>
      <c r="MNS15" s="518"/>
      <c r="MNT15" s="518"/>
      <c r="MNU15" s="518"/>
      <c r="MNV15" s="518"/>
      <c r="MNW15" s="518"/>
      <c r="MNX15" s="518"/>
      <c r="MNY15" s="518"/>
      <c r="MNZ15" s="518"/>
      <c r="MOA15" s="518"/>
      <c r="MOB15" s="518"/>
      <c r="MOC15" s="518"/>
      <c r="MOD15" s="518"/>
      <c r="MOE15" s="518"/>
      <c r="MOF15" s="518"/>
      <c r="MOG15" s="518"/>
      <c r="MOH15" s="518"/>
      <c r="MOI15" s="518"/>
      <c r="MOJ15" s="518"/>
      <c r="MOK15" s="518"/>
      <c r="MOL15" s="518"/>
      <c r="MOM15" s="518"/>
      <c r="MON15" s="518"/>
      <c r="MOO15" s="518"/>
      <c r="MOP15" s="518"/>
      <c r="MOQ15" s="518"/>
      <c r="MOR15" s="518"/>
      <c r="MOS15" s="518"/>
      <c r="MOT15" s="518"/>
      <c r="MOU15" s="518"/>
      <c r="MOV15" s="518"/>
      <c r="MOW15" s="518"/>
      <c r="MOX15" s="518"/>
      <c r="MOY15" s="518"/>
      <c r="MOZ15" s="518"/>
      <c r="MPA15" s="518"/>
      <c r="MPB15" s="518"/>
      <c r="MPC15" s="518"/>
      <c r="MPD15" s="518"/>
      <c r="MPE15" s="518"/>
      <c r="MPF15" s="518"/>
      <c r="MPG15" s="518"/>
      <c r="MPH15" s="518"/>
      <c r="MPI15" s="518"/>
      <c r="MPJ15" s="518"/>
      <c r="MPK15" s="518"/>
      <c r="MPL15" s="518"/>
      <c r="MPM15" s="518"/>
      <c r="MPN15" s="518"/>
      <c r="MPO15" s="518"/>
      <c r="MPP15" s="518"/>
      <c r="MPQ15" s="518"/>
      <c r="MPR15" s="518"/>
      <c r="MPS15" s="518"/>
      <c r="MPT15" s="518"/>
      <c r="MPU15" s="518"/>
      <c r="MPV15" s="518"/>
      <c r="MPW15" s="518"/>
      <c r="MPX15" s="518"/>
      <c r="MPY15" s="518"/>
      <c r="MPZ15" s="518"/>
      <c r="MQA15" s="518"/>
      <c r="MQB15" s="518"/>
      <c r="MQC15" s="518"/>
      <c r="MQD15" s="518"/>
      <c r="MQE15" s="518"/>
      <c r="MQF15" s="518"/>
      <c r="MQG15" s="518"/>
      <c r="MQH15" s="518"/>
      <c r="MQI15" s="518"/>
      <c r="MQJ15" s="518"/>
      <c r="MQK15" s="518"/>
      <c r="MQL15" s="518"/>
      <c r="MQM15" s="518"/>
      <c r="MQN15" s="518"/>
      <c r="MQO15" s="518"/>
      <c r="MQP15" s="518"/>
      <c r="MQQ15" s="518"/>
      <c r="MQR15" s="518"/>
      <c r="MQS15" s="518"/>
      <c r="MQT15" s="518"/>
      <c r="MQU15" s="518"/>
      <c r="MQV15" s="518"/>
      <c r="MQW15" s="518"/>
      <c r="MQX15" s="518"/>
      <c r="MQY15" s="518"/>
      <c r="MQZ15" s="518"/>
      <c r="MRA15" s="518"/>
      <c r="MRB15" s="518"/>
      <c r="MRC15" s="518"/>
      <c r="MRD15" s="518"/>
      <c r="MRE15" s="518"/>
      <c r="MRF15" s="518"/>
      <c r="MRG15" s="518"/>
      <c r="MRH15" s="518"/>
      <c r="MRI15" s="518"/>
      <c r="MRJ15" s="518"/>
      <c r="MRK15" s="518"/>
      <c r="MRL15" s="518"/>
      <c r="MRM15" s="518"/>
      <c r="MRN15" s="518"/>
      <c r="MRO15" s="518"/>
      <c r="MRP15" s="518"/>
      <c r="MRQ15" s="518"/>
      <c r="MRR15" s="518"/>
      <c r="MRS15" s="518"/>
      <c r="MRT15" s="518"/>
      <c r="MRU15" s="518"/>
      <c r="MRV15" s="518"/>
      <c r="MRW15" s="518"/>
      <c r="MRX15" s="518"/>
      <c r="MRY15" s="518"/>
      <c r="MRZ15" s="518"/>
      <c r="MSA15" s="518"/>
      <c r="MSB15" s="518"/>
      <c r="MSC15" s="518"/>
      <c r="MSD15" s="518"/>
      <c r="MSE15" s="518"/>
      <c r="MSF15" s="518"/>
      <c r="MSG15" s="518"/>
      <c r="MSH15" s="518"/>
      <c r="MSI15" s="518"/>
      <c r="MSJ15" s="518"/>
      <c r="MSK15" s="518"/>
      <c r="MSL15" s="518"/>
      <c r="MSM15" s="518"/>
      <c r="MSN15" s="518"/>
      <c r="MSO15" s="518"/>
      <c r="MSP15" s="518"/>
      <c r="MSQ15" s="518"/>
      <c r="MSR15" s="518"/>
      <c r="MSS15" s="518"/>
      <c r="MST15" s="518"/>
      <c r="MSU15" s="518"/>
      <c r="MSV15" s="518"/>
      <c r="MSW15" s="518"/>
      <c r="MSX15" s="518"/>
      <c r="MSY15" s="518"/>
      <c r="MSZ15" s="518"/>
      <c r="MTA15" s="518"/>
      <c r="MTB15" s="518"/>
      <c r="MTC15" s="518"/>
      <c r="MTD15" s="518"/>
      <c r="MTE15" s="518"/>
      <c r="MTF15" s="518"/>
      <c r="MTG15" s="518"/>
      <c r="MTH15" s="518"/>
      <c r="MTI15" s="518"/>
      <c r="MTJ15" s="518"/>
      <c r="MTK15" s="518"/>
      <c r="MTL15" s="518"/>
      <c r="MTM15" s="518"/>
      <c r="MTN15" s="518"/>
      <c r="MTO15" s="518"/>
      <c r="MTP15" s="518"/>
      <c r="MTQ15" s="518"/>
      <c r="MTR15" s="518"/>
      <c r="MTS15" s="518"/>
      <c r="MTT15" s="518"/>
      <c r="MTU15" s="518"/>
      <c r="MTV15" s="518"/>
      <c r="MTW15" s="518"/>
      <c r="MTX15" s="518"/>
      <c r="MTY15" s="518"/>
      <c r="MTZ15" s="518"/>
      <c r="MUA15" s="518"/>
      <c r="MUB15" s="518"/>
      <c r="MUC15" s="518"/>
      <c r="MUD15" s="518"/>
      <c r="MUE15" s="518"/>
      <c r="MUF15" s="518"/>
      <c r="MUG15" s="518"/>
      <c r="MUH15" s="518"/>
      <c r="MUI15" s="518"/>
      <c r="MUJ15" s="518"/>
      <c r="MUK15" s="518"/>
      <c r="MUL15" s="518"/>
      <c r="MUM15" s="518"/>
      <c r="MUN15" s="518"/>
      <c r="MUO15" s="518"/>
      <c r="MUP15" s="518"/>
      <c r="MUQ15" s="518"/>
      <c r="MUR15" s="518"/>
      <c r="MUS15" s="518"/>
      <c r="MUT15" s="518"/>
      <c r="MUU15" s="518"/>
      <c r="MUV15" s="518"/>
      <c r="MUW15" s="518"/>
      <c r="MUX15" s="518"/>
      <c r="MUY15" s="518"/>
      <c r="MUZ15" s="518"/>
      <c r="MVA15" s="518"/>
      <c r="MVB15" s="518"/>
      <c r="MVC15" s="518"/>
      <c r="MVD15" s="518"/>
      <c r="MVE15" s="518"/>
      <c r="MVF15" s="518"/>
      <c r="MVG15" s="518"/>
      <c r="MVH15" s="518"/>
      <c r="MVI15" s="518"/>
      <c r="MVJ15" s="518"/>
      <c r="MVK15" s="518"/>
      <c r="MVL15" s="518"/>
      <c r="MVM15" s="518"/>
      <c r="MVN15" s="518"/>
      <c r="MVO15" s="518"/>
      <c r="MVP15" s="518"/>
      <c r="MVQ15" s="518"/>
      <c r="MVR15" s="518"/>
      <c r="MVS15" s="518"/>
      <c r="MVT15" s="518"/>
      <c r="MVU15" s="518"/>
      <c r="MVV15" s="518"/>
      <c r="MVW15" s="518"/>
      <c r="MVX15" s="518"/>
      <c r="MVY15" s="518"/>
      <c r="MVZ15" s="518"/>
      <c r="MWA15" s="518"/>
      <c r="MWB15" s="518"/>
      <c r="MWC15" s="518"/>
      <c r="MWD15" s="518"/>
      <c r="MWE15" s="518"/>
      <c r="MWF15" s="518"/>
      <c r="MWG15" s="518"/>
      <c r="MWH15" s="518"/>
      <c r="MWI15" s="518"/>
      <c r="MWJ15" s="518"/>
      <c r="MWK15" s="518"/>
      <c r="MWL15" s="518"/>
      <c r="MWM15" s="518"/>
      <c r="MWN15" s="518"/>
      <c r="MWO15" s="518"/>
      <c r="MWP15" s="518"/>
      <c r="MWQ15" s="518"/>
      <c r="MWR15" s="518"/>
      <c r="MWS15" s="518"/>
      <c r="MWT15" s="518"/>
      <c r="MWU15" s="518"/>
      <c r="MWV15" s="518"/>
      <c r="MWW15" s="518"/>
      <c r="MWX15" s="518"/>
      <c r="MWY15" s="518"/>
      <c r="MWZ15" s="518"/>
      <c r="MXA15" s="518"/>
      <c r="MXB15" s="518"/>
      <c r="MXC15" s="518"/>
      <c r="MXD15" s="518"/>
      <c r="MXE15" s="518"/>
      <c r="MXF15" s="518"/>
      <c r="MXG15" s="518"/>
      <c r="MXH15" s="518"/>
      <c r="MXI15" s="518"/>
      <c r="MXJ15" s="518"/>
      <c r="MXK15" s="518"/>
      <c r="MXL15" s="518"/>
      <c r="MXM15" s="518"/>
      <c r="MXN15" s="518"/>
      <c r="MXO15" s="518"/>
      <c r="MXP15" s="518"/>
      <c r="MXQ15" s="518"/>
      <c r="MXR15" s="518"/>
      <c r="MXS15" s="518"/>
      <c r="MXT15" s="518"/>
      <c r="MXU15" s="518"/>
      <c r="MXV15" s="518"/>
      <c r="MXW15" s="518"/>
      <c r="MXX15" s="518"/>
      <c r="MXY15" s="518"/>
      <c r="MXZ15" s="518"/>
      <c r="MYA15" s="518"/>
      <c r="MYB15" s="518"/>
      <c r="MYC15" s="518"/>
      <c r="MYD15" s="518"/>
      <c r="MYE15" s="518"/>
      <c r="MYF15" s="518"/>
      <c r="MYG15" s="518"/>
      <c r="MYH15" s="518"/>
      <c r="MYI15" s="518"/>
      <c r="MYJ15" s="518"/>
      <c r="MYK15" s="518"/>
      <c r="MYL15" s="518"/>
      <c r="MYM15" s="518"/>
      <c r="MYN15" s="518"/>
      <c r="MYO15" s="518"/>
      <c r="MYP15" s="518"/>
      <c r="MYQ15" s="518"/>
      <c r="MYR15" s="518"/>
      <c r="MYS15" s="518"/>
      <c r="MYT15" s="518"/>
      <c r="MYU15" s="518"/>
      <c r="MYV15" s="518"/>
      <c r="MYW15" s="518"/>
      <c r="MYX15" s="518"/>
      <c r="MYY15" s="518"/>
      <c r="MYZ15" s="518"/>
      <c r="MZA15" s="518"/>
      <c r="MZB15" s="518"/>
      <c r="MZC15" s="518"/>
      <c r="MZD15" s="518"/>
      <c r="MZE15" s="518"/>
      <c r="MZF15" s="518"/>
      <c r="MZG15" s="518"/>
      <c r="MZH15" s="518"/>
      <c r="MZI15" s="518"/>
      <c r="MZJ15" s="518"/>
      <c r="MZK15" s="518"/>
      <c r="MZL15" s="518"/>
      <c r="MZM15" s="518"/>
      <c r="MZN15" s="518"/>
      <c r="MZO15" s="518"/>
      <c r="MZP15" s="518"/>
      <c r="MZQ15" s="518"/>
      <c r="MZR15" s="518"/>
      <c r="MZS15" s="518"/>
      <c r="MZT15" s="518"/>
      <c r="MZU15" s="518"/>
      <c r="MZV15" s="518"/>
      <c r="MZW15" s="518"/>
      <c r="MZX15" s="518"/>
      <c r="MZY15" s="518"/>
      <c r="MZZ15" s="518"/>
      <c r="NAA15" s="518"/>
      <c r="NAB15" s="518"/>
      <c r="NAC15" s="518"/>
      <c r="NAD15" s="518"/>
      <c r="NAE15" s="518"/>
      <c r="NAF15" s="518"/>
      <c r="NAG15" s="518"/>
      <c r="NAH15" s="518"/>
      <c r="NAI15" s="518"/>
      <c r="NAJ15" s="518"/>
      <c r="NAK15" s="518"/>
      <c r="NAL15" s="518"/>
      <c r="NAM15" s="518"/>
      <c r="NAN15" s="518"/>
      <c r="NAO15" s="518"/>
      <c r="NAP15" s="518"/>
      <c r="NAQ15" s="518"/>
      <c r="NAR15" s="518"/>
      <c r="NAS15" s="518"/>
      <c r="NAT15" s="518"/>
      <c r="NAU15" s="518"/>
      <c r="NAV15" s="518"/>
      <c r="NAW15" s="518"/>
      <c r="NAX15" s="518"/>
      <c r="NAY15" s="518"/>
      <c r="NAZ15" s="518"/>
      <c r="NBA15" s="518"/>
      <c r="NBB15" s="518"/>
      <c r="NBC15" s="518"/>
      <c r="NBD15" s="518"/>
      <c r="NBE15" s="518"/>
      <c r="NBF15" s="518"/>
      <c r="NBG15" s="518"/>
      <c r="NBH15" s="518"/>
      <c r="NBI15" s="518"/>
      <c r="NBJ15" s="518"/>
      <c r="NBK15" s="518"/>
      <c r="NBL15" s="518"/>
      <c r="NBM15" s="518"/>
      <c r="NBN15" s="518"/>
      <c r="NBO15" s="518"/>
      <c r="NBP15" s="518"/>
      <c r="NBQ15" s="518"/>
      <c r="NBR15" s="518"/>
      <c r="NBS15" s="518"/>
      <c r="NBT15" s="518"/>
      <c r="NBU15" s="518"/>
      <c r="NBV15" s="518"/>
      <c r="NBW15" s="518"/>
      <c r="NBX15" s="518"/>
      <c r="NBY15" s="518"/>
      <c r="NBZ15" s="518"/>
      <c r="NCA15" s="518"/>
      <c r="NCB15" s="518"/>
      <c r="NCC15" s="518"/>
      <c r="NCD15" s="518"/>
      <c r="NCE15" s="518"/>
      <c r="NCF15" s="518"/>
      <c r="NCG15" s="518"/>
      <c r="NCH15" s="518"/>
      <c r="NCI15" s="518"/>
      <c r="NCJ15" s="518"/>
      <c r="NCK15" s="518"/>
      <c r="NCL15" s="518"/>
      <c r="NCM15" s="518"/>
      <c r="NCN15" s="518"/>
      <c r="NCO15" s="518"/>
      <c r="NCP15" s="518"/>
      <c r="NCQ15" s="518"/>
      <c r="NCR15" s="518"/>
      <c r="NCS15" s="518"/>
      <c r="NCT15" s="518"/>
      <c r="NCU15" s="518"/>
      <c r="NCV15" s="518"/>
      <c r="NCW15" s="518"/>
      <c r="NCX15" s="518"/>
      <c r="NCY15" s="518"/>
      <c r="NCZ15" s="518"/>
      <c r="NDA15" s="518"/>
      <c r="NDB15" s="518"/>
      <c r="NDC15" s="518"/>
      <c r="NDD15" s="518"/>
      <c r="NDE15" s="518"/>
      <c r="NDF15" s="518"/>
      <c r="NDG15" s="518"/>
      <c r="NDH15" s="518"/>
      <c r="NDI15" s="518"/>
      <c r="NDJ15" s="518"/>
      <c r="NDK15" s="518"/>
      <c r="NDL15" s="518"/>
      <c r="NDM15" s="518"/>
      <c r="NDN15" s="518"/>
      <c r="NDO15" s="518"/>
      <c r="NDP15" s="518"/>
      <c r="NDQ15" s="518"/>
      <c r="NDR15" s="518"/>
      <c r="NDS15" s="518"/>
      <c r="NDT15" s="518"/>
      <c r="NDU15" s="518"/>
      <c r="NDV15" s="518"/>
      <c r="NDW15" s="518"/>
      <c r="NDX15" s="518"/>
      <c r="NDY15" s="518"/>
      <c r="NDZ15" s="518"/>
      <c r="NEA15" s="518"/>
      <c r="NEB15" s="518"/>
      <c r="NEC15" s="518"/>
      <c r="NED15" s="518"/>
      <c r="NEE15" s="518"/>
      <c r="NEF15" s="518"/>
      <c r="NEG15" s="518"/>
      <c r="NEH15" s="518"/>
      <c r="NEI15" s="518"/>
      <c r="NEJ15" s="518"/>
      <c r="NEK15" s="518"/>
      <c r="NEL15" s="518"/>
      <c r="NEM15" s="518"/>
      <c r="NEN15" s="518"/>
      <c r="NEO15" s="518"/>
      <c r="NEP15" s="518"/>
      <c r="NEQ15" s="518"/>
      <c r="NER15" s="518"/>
      <c r="NES15" s="518"/>
      <c r="NET15" s="518"/>
      <c r="NEU15" s="518"/>
      <c r="NEV15" s="518"/>
      <c r="NEW15" s="518"/>
      <c r="NEX15" s="518"/>
      <c r="NEY15" s="518"/>
      <c r="NEZ15" s="518"/>
      <c r="NFA15" s="518"/>
      <c r="NFB15" s="518"/>
      <c r="NFC15" s="518"/>
      <c r="NFD15" s="518"/>
      <c r="NFE15" s="518"/>
      <c r="NFF15" s="518"/>
      <c r="NFG15" s="518"/>
      <c r="NFH15" s="518"/>
      <c r="NFI15" s="518"/>
      <c r="NFJ15" s="518"/>
      <c r="NFK15" s="518"/>
      <c r="NFL15" s="518"/>
      <c r="NFM15" s="518"/>
      <c r="NFN15" s="518"/>
      <c r="NFO15" s="518"/>
      <c r="NFP15" s="518"/>
      <c r="NFQ15" s="518"/>
      <c r="NFR15" s="518"/>
      <c r="NFS15" s="518"/>
      <c r="NFT15" s="518"/>
      <c r="NFU15" s="518"/>
      <c r="NFV15" s="518"/>
      <c r="NFW15" s="518"/>
      <c r="NFX15" s="518"/>
      <c r="NFY15" s="518"/>
      <c r="NFZ15" s="518"/>
      <c r="NGA15" s="518"/>
      <c r="NGB15" s="518"/>
      <c r="NGC15" s="518"/>
      <c r="NGD15" s="518"/>
      <c r="NGE15" s="518"/>
      <c r="NGF15" s="518"/>
      <c r="NGG15" s="518"/>
      <c r="NGH15" s="518"/>
      <c r="NGI15" s="518"/>
      <c r="NGJ15" s="518"/>
      <c r="NGK15" s="518"/>
      <c r="NGL15" s="518"/>
      <c r="NGM15" s="518"/>
      <c r="NGN15" s="518"/>
      <c r="NGO15" s="518"/>
      <c r="NGP15" s="518"/>
      <c r="NGQ15" s="518"/>
      <c r="NGR15" s="518"/>
      <c r="NGS15" s="518"/>
      <c r="NGT15" s="518"/>
      <c r="NGU15" s="518"/>
      <c r="NGV15" s="518"/>
      <c r="NGW15" s="518"/>
      <c r="NGX15" s="518"/>
      <c r="NGY15" s="518"/>
      <c r="NGZ15" s="518"/>
      <c r="NHA15" s="518"/>
      <c r="NHB15" s="518"/>
      <c r="NHC15" s="518"/>
      <c r="NHD15" s="518"/>
      <c r="NHE15" s="518"/>
      <c r="NHF15" s="518"/>
      <c r="NHG15" s="518"/>
      <c r="NHH15" s="518"/>
      <c r="NHI15" s="518"/>
      <c r="NHJ15" s="518"/>
      <c r="NHK15" s="518"/>
      <c r="NHL15" s="518"/>
      <c r="NHM15" s="518"/>
      <c r="NHN15" s="518"/>
      <c r="NHO15" s="518"/>
      <c r="NHP15" s="518"/>
      <c r="NHQ15" s="518"/>
      <c r="NHR15" s="518"/>
      <c r="NHS15" s="518"/>
      <c r="NHT15" s="518"/>
      <c r="NHU15" s="518"/>
      <c r="NHV15" s="518"/>
      <c r="NHW15" s="518"/>
      <c r="NHX15" s="518"/>
      <c r="NHY15" s="518"/>
      <c r="NHZ15" s="518"/>
      <c r="NIA15" s="518"/>
      <c r="NIB15" s="518"/>
      <c r="NIC15" s="518"/>
      <c r="NID15" s="518"/>
      <c r="NIE15" s="518"/>
      <c r="NIF15" s="518"/>
      <c r="NIG15" s="518"/>
      <c r="NIH15" s="518"/>
      <c r="NII15" s="518"/>
      <c r="NIJ15" s="518"/>
      <c r="NIK15" s="518"/>
      <c r="NIL15" s="518"/>
      <c r="NIM15" s="518"/>
      <c r="NIN15" s="518"/>
      <c r="NIO15" s="518"/>
      <c r="NIP15" s="518"/>
      <c r="NIQ15" s="518"/>
      <c r="NIR15" s="518"/>
      <c r="NIS15" s="518"/>
      <c r="NIT15" s="518"/>
      <c r="NIU15" s="518"/>
      <c r="NIV15" s="518"/>
      <c r="NIW15" s="518"/>
      <c r="NIX15" s="518"/>
      <c r="NIY15" s="518"/>
      <c r="NIZ15" s="518"/>
      <c r="NJA15" s="518"/>
      <c r="NJB15" s="518"/>
      <c r="NJC15" s="518"/>
      <c r="NJD15" s="518"/>
      <c r="NJE15" s="518"/>
      <c r="NJF15" s="518"/>
      <c r="NJG15" s="518"/>
      <c r="NJH15" s="518"/>
      <c r="NJI15" s="518"/>
      <c r="NJJ15" s="518"/>
      <c r="NJK15" s="518"/>
      <c r="NJL15" s="518"/>
      <c r="NJM15" s="518"/>
      <c r="NJN15" s="518"/>
      <c r="NJO15" s="518"/>
      <c r="NJP15" s="518"/>
      <c r="NJQ15" s="518"/>
      <c r="NJR15" s="518"/>
      <c r="NJS15" s="518"/>
      <c r="NJT15" s="518"/>
      <c r="NJU15" s="518"/>
      <c r="NJV15" s="518"/>
      <c r="NJW15" s="518"/>
      <c r="NJX15" s="518"/>
      <c r="NJY15" s="518"/>
      <c r="NJZ15" s="518"/>
      <c r="NKA15" s="518"/>
      <c r="NKB15" s="518"/>
      <c r="NKC15" s="518"/>
      <c r="NKD15" s="518"/>
      <c r="NKE15" s="518"/>
      <c r="NKF15" s="518"/>
      <c r="NKG15" s="518"/>
      <c r="NKH15" s="518"/>
      <c r="NKI15" s="518"/>
      <c r="NKJ15" s="518"/>
      <c r="NKK15" s="518"/>
      <c r="NKL15" s="518"/>
      <c r="NKM15" s="518"/>
      <c r="NKN15" s="518"/>
      <c r="NKO15" s="518"/>
      <c r="NKP15" s="518"/>
      <c r="NKQ15" s="518"/>
      <c r="NKR15" s="518"/>
      <c r="NKS15" s="518"/>
      <c r="NKT15" s="518"/>
      <c r="NKU15" s="518"/>
      <c r="NKV15" s="518"/>
      <c r="NKW15" s="518"/>
      <c r="NKX15" s="518"/>
      <c r="NKY15" s="518"/>
      <c r="NKZ15" s="518"/>
      <c r="NLA15" s="518"/>
      <c r="NLB15" s="518"/>
      <c r="NLC15" s="518"/>
      <c r="NLD15" s="518"/>
      <c r="NLE15" s="518"/>
      <c r="NLF15" s="518"/>
      <c r="NLG15" s="518"/>
      <c r="NLH15" s="518"/>
      <c r="NLI15" s="518"/>
      <c r="NLJ15" s="518"/>
      <c r="NLK15" s="518"/>
      <c r="NLL15" s="518"/>
      <c r="NLM15" s="518"/>
      <c r="NLN15" s="518"/>
      <c r="NLO15" s="518"/>
      <c r="NLP15" s="518"/>
      <c r="NLQ15" s="518"/>
      <c r="NLR15" s="518"/>
      <c r="NLS15" s="518"/>
      <c r="NLT15" s="518"/>
      <c r="NLU15" s="518"/>
      <c r="NLV15" s="518"/>
      <c r="NLW15" s="518"/>
      <c r="NLX15" s="518"/>
      <c r="NLY15" s="518"/>
      <c r="NLZ15" s="518"/>
      <c r="NMA15" s="518"/>
      <c r="NMB15" s="518"/>
      <c r="NMC15" s="518"/>
      <c r="NMD15" s="518"/>
      <c r="NME15" s="518"/>
      <c r="NMF15" s="518"/>
      <c r="NMG15" s="518"/>
      <c r="NMH15" s="518"/>
      <c r="NMI15" s="518"/>
      <c r="NMJ15" s="518"/>
      <c r="NMK15" s="518"/>
      <c r="NML15" s="518"/>
      <c r="NMM15" s="518"/>
      <c r="NMN15" s="518"/>
      <c r="NMO15" s="518"/>
      <c r="NMP15" s="518"/>
      <c r="NMQ15" s="518"/>
      <c r="NMR15" s="518"/>
      <c r="NMS15" s="518"/>
      <c r="NMT15" s="518"/>
      <c r="NMU15" s="518"/>
      <c r="NMV15" s="518"/>
      <c r="NMW15" s="518"/>
      <c r="NMX15" s="518"/>
      <c r="NMY15" s="518"/>
      <c r="NMZ15" s="518"/>
      <c r="NNA15" s="518"/>
      <c r="NNB15" s="518"/>
      <c r="NNC15" s="518"/>
      <c r="NND15" s="518"/>
      <c r="NNE15" s="518"/>
      <c r="NNF15" s="518"/>
      <c r="NNG15" s="518"/>
      <c r="NNH15" s="518"/>
      <c r="NNI15" s="518"/>
      <c r="NNJ15" s="518"/>
      <c r="NNK15" s="518"/>
      <c r="NNL15" s="518"/>
      <c r="NNM15" s="518"/>
      <c r="NNN15" s="518"/>
      <c r="NNO15" s="518"/>
      <c r="NNP15" s="518"/>
      <c r="NNQ15" s="518"/>
      <c r="NNR15" s="518"/>
      <c r="NNS15" s="518"/>
      <c r="NNT15" s="518"/>
      <c r="NNU15" s="518"/>
      <c r="NNV15" s="518"/>
      <c r="NNW15" s="518"/>
      <c r="NNX15" s="518"/>
      <c r="NNY15" s="518"/>
      <c r="NNZ15" s="518"/>
      <c r="NOA15" s="518"/>
      <c r="NOB15" s="518"/>
      <c r="NOC15" s="518"/>
      <c r="NOD15" s="518"/>
      <c r="NOE15" s="518"/>
      <c r="NOF15" s="518"/>
      <c r="NOG15" s="518"/>
      <c r="NOH15" s="518"/>
      <c r="NOI15" s="518"/>
      <c r="NOJ15" s="518"/>
      <c r="NOK15" s="518"/>
      <c r="NOL15" s="518"/>
      <c r="NOM15" s="518"/>
      <c r="NON15" s="518"/>
      <c r="NOO15" s="518"/>
      <c r="NOP15" s="518"/>
      <c r="NOQ15" s="518"/>
      <c r="NOR15" s="518"/>
      <c r="NOS15" s="518"/>
      <c r="NOT15" s="518"/>
      <c r="NOU15" s="518"/>
      <c r="NOV15" s="518"/>
      <c r="NOW15" s="518"/>
      <c r="NOX15" s="518"/>
      <c r="NOY15" s="518"/>
      <c r="NOZ15" s="518"/>
      <c r="NPA15" s="518"/>
      <c r="NPB15" s="518"/>
      <c r="NPC15" s="518"/>
      <c r="NPD15" s="518"/>
      <c r="NPE15" s="518"/>
      <c r="NPF15" s="518"/>
      <c r="NPG15" s="518"/>
      <c r="NPH15" s="518"/>
      <c r="NPI15" s="518"/>
      <c r="NPJ15" s="518"/>
      <c r="NPK15" s="518"/>
      <c r="NPL15" s="518"/>
      <c r="NPM15" s="518"/>
      <c r="NPN15" s="518"/>
      <c r="NPO15" s="518"/>
      <c r="NPP15" s="518"/>
      <c r="NPQ15" s="518"/>
      <c r="NPR15" s="518"/>
      <c r="NPS15" s="518"/>
      <c r="NPT15" s="518"/>
      <c r="NPU15" s="518"/>
      <c r="NPV15" s="518"/>
      <c r="NPW15" s="518"/>
      <c r="NPX15" s="518"/>
      <c r="NPY15" s="518"/>
      <c r="NPZ15" s="518"/>
      <c r="NQA15" s="518"/>
      <c r="NQB15" s="518"/>
      <c r="NQC15" s="518"/>
      <c r="NQD15" s="518"/>
      <c r="NQE15" s="518"/>
      <c r="NQF15" s="518"/>
      <c r="NQG15" s="518"/>
      <c r="NQH15" s="518"/>
      <c r="NQI15" s="518"/>
      <c r="NQJ15" s="518"/>
      <c r="NQK15" s="518"/>
      <c r="NQL15" s="518"/>
      <c r="NQM15" s="518"/>
      <c r="NQN15" s="518"/>
      <c r="NQO15" s="518"/>
      <c r="NQP15" s="518"/>
      <c r="NQQ15" s="518"/>
      <c r="NQR15" s="518"/>
      <c r="NQS15" s="518"/>
      <c r="NQT15" s="518"/>
      <c r="NQU15" s="518"/>
      <c r="NQV15" s="518"/>
      <c r="NQW15" s="518"/>
      <c r="NQX15" s="518"/>
      <c r="NQY15" s="518"/>
      <c r="NQZ15" s="518"/>
      <c r="NRA15" s="518"/>
      <c r="NRB15" s="518"/>
      <c r="NRC15" s="518"/>
      <c r="NRD15" s="518"/>
      <c r="NRE15" s="518"/>
      <c r="NRF15" s="518"/>
      <c r="NRG15" s="518"/>
      <c r="NRH15" s="518"/>
      <c r="NRI15" s="518"/>
      <c r="NRJ15" s="518"/>
      <c r="NRK15" s="518"/>
      <c r="NRL15" s="518"/>
      <c r="NRM15" s="518"/>
      <c r="NRN15" s="518"/>
      <c r="NRO15" s="518"/>
      <c r="NRP15" s="518"/>
      <c r="NRQ15" s="518"/>
      <c r="NRR15" s="518"/>
      <c r="NRS15" s="518"/>
      <c r="NRT15" s="518"/>
      <c r="NRU15" s="518"/>
      <c r="NRV15" s="518"/>
      <c r="NRW15" s="518"/>
      <c r="NRX15" s="518"/>
      <c r="NRY15" s="518"/>
      <c r="NRZ15" s="518"/>
      <c r="NSA15" s="518"/>
      <c r="NSB15" s="518"/>
      <c r="NSC15" s="518"/>
      <c r="NSD15" s="518"/>
      <c r="NSE15" s="518"/>
      <c r="NSF15" s="518"/>
      <c r="NSG15" s="518"/>
      <c r="NSH15" s="518"/>
      <c r="NSI15" s="518"/>
      <c r="NSJ15" s="518"/>
      <c r="NSK15" s="518"/>
      <c r="NSL15" s="518"/>
      <c r="NSM15" s="518"/>
      <c r="NSN15" s="518"/>
      <c r="NSO15" s="518"/>
      <c r="NSP15" s="518"/>
      <c r="NSQ15" s="518"/>
      <c r="NSR15" s="518"/>
      <c r="NSS15" s="518"/>
      <c r="NST15" s="518"/>
      <c r="NSU15" s="518"/>
      <c r="NSV15" s="518"/>
      <c r="NSW15" s="518"/>
      <c r="NSX15" s="518"/>
      <c r="NSY15" s="518"/>
      <c r="NSZ15" s="518"/>
      <c r="NTA15" s="518"/>
      <c r="NTB15" s="518"/>
      <c r="NTC15" s="518"/>
      <c r="NTD15" s="518"/>
      <c r="NTE15" s="518"/>
      <c r="NTF15" s="518"/>
      <c r="NTG15" s="518"/>
      <c r="NTH15" s="518"/>
      <c r="NTI15" s="518"/>
      <c r="NTJ15" s="518"/>
      <c r="NTK15" s="518"/>
      <c r="NTL15" s="518"/>
      <c r="NTM15" s="518"/>
      <c r="NTN15" s="518"/>
      <c r="NTO15" s="518"/>
      <c r="NTP15" s="518"/>
      <c r="NTQ15" s="518"/>
      <c r="NTR15" s="518"/>
      <c r="NTS15" s="518"/>
      <c r="NTT15" s="518"/>
      <c r="NTU15" s="518"/>
      <c r="NTV15" s="518"/>
      <c r="NTW15" s="518"/>
      <c r="NTX15" s="518"/>
      <c r="NTY15" s="518"/>
      <c r="NTZ15" s="518"/>
      <c r="NUA15" s="518"/>
      <c r="NUB15" s="518"/>
      <c r="NUC15" s="518"/>
      <c r="NUD15" s="518"/>
      <c r="NUE15" s="518"/>
      <c r="NUF15" s="518"/>
      <c r="NUG15" s="518"/>
      <c r="NUH15" s="518"/>
      <c r="NUI15" s="518"/>
      <c r="NUJ15" s="518"/>
      <c r="NUK15" s="518"/>
      <c r="NUL15" s="518"/>
      <c r="NUM15" s="518"/>
      <c r="NUN15" s="518"/>
      <c r="NUO15" s="518"/>
      <c r="NUP15" s="518"/>
      <c r="NUQ15" s="518"/>
      <c r="NUR15" s="518"/>
      <c r="NUS15" s="518"/>
      <c r="NUT15" s="518"/>
      <c r="NUU15" s="518"/>
      <c r="NUV15" s="518"/>
      <c r="NUW15" s="518"/>
      <c r="NUX15" s="518"/>
      <c r="NUY15" s="518"/>
      <c r="NUZ15" s="518"/>
      <c r="NVA15" s="518"/>
      <c r="NVB15" s="518"/>
      <c r="NVC15" s="518"/>
      <c r="NVD15" s="518"/>
      <c r="NVE15" s="518"/>
      <c r="NVF15" s="518"/>
      <c r="NVG15" s="518"/>
      <c r="NVH15" s="518"/>
      <c r="NVI15" s="518"/>
      <c r="NVJ15" s="518"/>
      <c r="NVK15" s="518"/>
      <c r="NVL15" s="518"/>
      <c r="NVM15" s="518"/>
      <c r="NVN15" s="518"/>
      <c r="NVO15" s="518"/>
      <c r="NVP15" s="518"/>
      <c r="NVQ15" s="518"/>
      <c r="NVR15" s="518"/>
      <c r="NVS15" s="518"/>
      <c r="NVT15" s="518"/>
      <c r="NVU15" s="518"/>
      <c r="NVV15" s="518"/>
      <c r="NVW15" s="518"/>
      <c r="NVX15" s="518"/>
      <c r="NVY15" s="518"/>
      <c r="NVZ15" s="518"/>
      <c r="NWA15" s="518"/>
      <c r="NWB15" s="518"/>
      <c r="NWC15" s="518"/>
      <c r="NWD15" s="518"/>
      <c r="NWE15" s="518"/>
      <c r="NWF15" s="518"/>
      <c r="NWG15" s="518"/>
      <c r="NWH15" s="518"/>
      <c r="NWI15" s="518"/>
      <c r="NWJ15" s="518"/>
      <c r="NWK15" s="518"/>
      <c r="NWL15" s="518"/>
      <c r="NWM15" s="518"/>
      <c r="NWN15" s="518"/>
      <c r="NWO15" s="518"/>
      <c r="NWP15" s="518"/>
      <c r="NWQ15" s="518"/>
      <c r="NWR15" s="518"/>
      <c r="NWS15" s="518"/>
      <c r="NWT15" s="518"/>
      <c r="NWU15" s="518"/>
      <c r="NWV15" s="518"/>
      <c r="NWW15" s="518"/>
      <c r="NWX15" s="518"/>
      <c r="NWY15" s="518"/>
      <c r="NWZ15" s="518"/>
      <c r="NXA15" s="518"/>
      <c r="NXB15" s="518"/>
      <c r="NXC15" s="518"/>
      <c r="NXD15" s="518"/>
      <c r="NXE15" s="518"/>
      <c r="NXF15" s="518"/>
      <c r="NXG15" s="518"/>
      <c r="NXH15" s="518"/>
      <c r="NXI15" s="518"/>
      <c r="NXJ15" s="518"/>
      <c r="NXK15" s="518"/>
      <c r="NXL15" s="518"/>
      <c r="NXM15" s="518"/>
      <c r="NXN15" s="518"/>
      <c r="NXO15" s="518"/>
      <c r="NXP15" s="518"/>
      <c r="NXQ15" s="518"/>
      <c r="NXR15" s="518"/>
      <c r="NXS15" s="518"/>
      <c r="NXT15" s="518"/>
      <c r="NXU15" s="518"/>
      <c r="NXV15" s="518"/>
      <c r="NXW15" s="518"/>
      <c r="NXX15" s="518"/>
      <c r="NXY15" s="518"/>
      <c r="NXZ15" s="518"/>
      <c r="NYA15" s="518"/>
      <c r="NYB15" s="518"/>
      <c r="NYC15" s="518"/>
      <c r="NYD15" s="518"/>
      <c r="NYE15" s="518"/>
      <c r="NYF15" s="518"/>
      <c r="NYG15" s="518"/>
      <c r="NYH15" s="518"/>
      <c r="NYI15" s="518"/>
      <c r="NYJ15" s="518"/>
      <c r="NYK15" s="518"/>
      <c r="NYL15" s="518"/>
      <c r="NYM15" s="518"/>
      <c r="NYN15" s="518"/>
      <c r="NYO15" s="518"/>
      <c r="NYP15" s="518"/>
      <c r="NYQ15" s="518"/>
      <c r="NYR15" s="518"/>
      <c r="NYS15" s="518"/>
      <c r="NYT15" s="518"/>
      <c r="NYU15" s="518"/>
      <c r="NYV15" s="518"/>
      <c r="NYW15" s="518"/>
      <c r="NYX15" s="518"/>
      <c r="NYY15" s="518"/>
      <c r="NYZ15" s="518"/>
      <c r="NZA15" s="518"/>
      <c r="NZB15" s="518"/>
      <c r="NZC15" s="518"/>
      <c r="NZD15" s="518"/>
      <c r="NZE15" s="518"/>
      <c r="NZF15" s="518"/>
      <c r="NZG15" s="518"/>
      <c r="NZH15" s="518"/>
      <c r="NZI15" s="518"/>
      <c r="NZJ15" s="518"/>
      <c r="NZK15" s="518"/>
      <c r="NZL15" s="518"/>
      <c r="NZM15" s="518"/>
      <c r="NZN15" s="518"/>
      <c r="NZO15" s="518"/>
      <c r="NZP15" s="518"/>
      <c r="NZQ15" s="518"/>
      <c r="NZR15" s="518"/>
      <c r="NZS15" s="518"/>
      <c r="NZT15" s="518"/>
      <c r="NZU15" s="518"/>
      <c r="NZV15" s="518"/>
      <c r="NZW15" s="518"/>
      <c r="NZX15" s="518"/>
      <c r="NZY15" s="518"/>
      <c r="NZZ15" s="518"/>
      <c r="OAA15" s="518"/>
      <c r="OAB15" s="518"/>
      <c r="OAC15" s="518"/>
      <c r="OAD15" s="518"/>
      <c r="OAE15" s="518"/>
      <c r="OAF15" s="518"/>
      <c r="OAG15" s="518"/>
      <c r="OAH15" s="518"/>
      <c r="OAI15" s="518"/>
      <c r="OAJ15" s="518"/>
      <c r="OAK15" s="518"/>
      <c r="OAL15" s="518"/>
      <c r="OAM15" s="518"/>
      <c r="OAN15" s="518"/>
      <c r="OAO15" s="518"/>
      <c r="OAP15" s="518"/>
      <c r="OAQ15" s="518"/>
      <c r="OAR15" s="518"/>
      <c r="OAS15" s="518"/>
      <c r="OAT15" s="518"/>
      <c r="OAU15" s="518"/>
      <c r="OAV15" s="518"/>
      <c r="OAW15" s="518"/>
      <c r="OAX15" s="518"/>
      <c r="OAY15" s="518"/>
      <c r="OAZ15" s="518"/>
      <c r="OBA15" s="518"/>
      <c r="OBB15" s="518"/>
      <c r="OBC15" s="518"/>
      <c r="OBD15" s="518"/>
      <c r="OBE15" s="518"/>
      <c r="OBF15" s="518"/>
      <c r="OBG15" s="518"/>
      <c r="OBH15" s="518"/>
      <c r="OBI15" s="518"/>
      <c r="OBJ15" s="518"/>
      <c r="OBK15" s="518"/>
      <c r="OBL15" s="518"/>
      <c r="OBM15" s="518"/>
      <c r="OBN15" s="518"/>
      <c r="OBO15" s="518"/>
      <c r="OBP15" s="518"/>
      <c r="OBQ15" s="518"/>
      <c r="OBR15" s="518"/>
      <c r="OBS15" s="518"/>
      <c r="OBT15" s="518"/>
      <c r="OBU15" s="518"/>
      <c r="OBV15" s="518"/>
      <c r="OBW15" s="518"/>
      <c r="OBX15" s="518"/>
      <c r="OBY15" s="518"/>
      <c r="OBZ15" s="518"/>
      <c r="OCA15" s="518"/>
      <c r="OCB15" s="518"/>
      <c r="OCC15" s="518"/>
      <c r="OCD15" s="518"/>
      <c r="OCE15" s="518"/>
      <c r="OCF15" s="518"/>
      <c r="OCG15" s="518"/>
      <c r="OCH15" s="518"/>
      <c r="OCI15" s="518"/>
      <c r="OCJ15" s="518"/>
      <c r="OCK15" s="518"/>
      <c r="OCL15" s="518"/>
      <c r="OCM15" s="518"/>
      <c r="OCN15" s="518"/>
      <c r="OCO15" s="518"/>
      <c r="OCP15" s="518"/>
      <c r="OCQ15" s="518"/>
      <c r="OCR15" s="518"/>
      <c r="OCS15" s="518"/>
      <c r="OCT15" s="518"/>
      <c r="OCU15" s="518"/>
      <c r="OCV15" s="518"/>
      <c r="OCW15" s="518"/>
      <c r="OCX15" s="518"/>
      <c r="OCY15" s="518"/>
      <c r="OCZ15" s="518"/>
      <c r="ODA15" s="518"/>
      <c r="ODB15" s="518"/>
      <c r="ODC15" s="518"/>
      <c r="ODD15" s="518"/>
      <c r="ODE15" s="518"/>
      <c r="ODF15" s="518"/>
      <c r="ODG15" s="518"/>
      <c r="ODH15" s="518"/>
      <c r="ODI15" s="518"/>
      <c r="ODJ15" s="518"/>
      <c r="ODK15" s="518"/>
      <c r="ODL15" s="518"/>
      <c r="ODM15" s="518"/>
      <c r="ODN15" s="518"/>
      <c r="ODO15" s="518"/>
      <c r="ODP15" s="518"/>
      <c r="ODQ15" s="518"/>
      <c r="ODR15" s="518"/>
      <c r="ODS15" s="518"/>
      <c r="ODT15" s="518"/>
      <c r="ODU15" s="518"/>
      <c r="ODV15" s="518"/>
      <c r="ODW15" s="518"/>
      <c r="ODX15" s="518"/>
      <c r="ODY15" s="518"/>
      <c r="ODZ15" s="518"/>
      <c r="OEA15" s="518"/>
      <c r="OEB15" s="518"/>
      <c r="OEC15" s="518"/>
      <c r="OED15" s="518"/>
      <c r="OEE15" s="518"/>
      <c r="OEF15" s="518"/>
      <c r="OEG15" s="518"/>
      <c r="OEH15" s="518"/>
      <c r="OEI15" s="518"/>
      <c r="OEJ15" s="518"/>
      <c r="OEK15" s="518"/>
      <c r="OEL15" s="518"/>
      <c r="OEM15" s="518"/>
      <c r="OEN15" s="518"/>
      <c r="OEO15" s="518"/>
      <c r="OEP15" s="518"/>
      <c r="OEQ15" s="518"/>
      <c r="OER15" s="518"/>
      <c r="OES15" s="518"/>
      <c r="OET15" s="518"/>
      <c r="OEU15" s="518"/>
      <c r="OEV15" s="518"/>
      <c r="OEW15" s="518"/>
      <c r="OEX15" s="518"/>
      <c r="OEY15" s="518"/>
      <c r="OEZ15" s="518"/>
      <c r="OFA15" s="518"/>
      <c r="OFB15" s="518"/>
      <c r="OFC15" s="518"/>
      <c r="OFD15" s="518"/>
      <c r="OFE15" s="518"/>
      <c r="OFF15" s="518"/>
      <c r="OFG15" s="518"/>
      <c r="OFH15" s="518"/>
      <c r="OFI15" s="518"/>
      <c r="OFJ15" s="518"/>
      <c r="OFK15" s="518"/>
      <c r="OFL15" s="518"/>
      <c r="OFM15" s="518"/>
      <c r="OFN15" s="518"/>
      <c r="OFO15" s="518"/>
      <c r="OFP15" s="518"/>
      <c r="OFQ15" s="518"/>
      <c r="OFR15" s="518"/>
      <c r="OFS15" s="518"/>
      <c r="OFT15" s="518"/>
      <c r="OFU15" s="518"/>
      <c r="OFV15" s="518"/>
      <c r="OFW15" s="518"/>
      <c r="OFX15" s="518"/>
      <c r="OFY15" s="518"/>
      <c r="OFZ15" s="518"/>
      <c r="OGA15" s="518"/>
      <c r="OGB15" s="518"/>
      <c r="OGC15" s="518"/>
      <c r="OGD15" s="518"/>
      <c r="OGE15" s="518"/>
      <c r="OGF15" s="518"/>
      <c r="OGG15" s="518"/>
      <c r="OGH15" s="518"/>
      <c r="OGI15" s="518"/>
      <c r="OGJ15" s="518"/>
      <c r="OGK15" s="518"/>
      <c r="OGL15" s="518"/>
      <c r="OGM15" s="518"/>
      <c r="OGN15" s="518"/>
      <c r="OGO15" s="518"/>
      <c r="OGP15" s="518"/>
      <c r="OGQ15" s="518"/>
      <c r="OGR15" s="518"/>
      <c r="OGS15" s="518"/>
      <c r="OGT15" s="518"/>
      <c r="OGU15" s="518"/>
      <c r="OGV15" s="518"/>
      <c r="OGW15" s="518"/>
      <c r="OGX15" s="518"/>
      <c r="OGY15" s="518"/>
      <c r="OGZ15" s="518"/>
      <c r="OHA15" s="518"/>
      <c r="OHB15" s="518"/>
      <c r="OHC15" s="518"/>
      <c r="OHD15" s="518"/>
      <c r="OHE15" s="518"/>
      <c r="OHF15" s="518"/>
      <c r="OHG15" s="518"/>
      <c r="OHH15" s="518"/>
      <c r="OHI15" s="518"/>
      <c r="OHJ15" s="518"/>
      <c r="OHK15" s="518"/>
      <c r="OHL15" s="518"/>
      <c r="OHM15" s="518"/>
      <c r="OHN15" s="518"/>
      <c r="OHO15" s="518"/>
      <c r="OHP15" s="518"/>
      <c r="OHQ15" s="518"/>
      <c r="OHR15" s="518"/>
      <c r="OHS15" s="518"/>
      <c r="OHT15" s="518"/>
      <c r="OHU15" s="518"/>
      <c r="OHV15" s="518"/>
      <c r="OHW15" s="518"/>
      <c r="OHX15" s="518"/>
      <c r="OHY15" s="518"/>
      <c r="OHZ15" s="518"/>
      <c r="OIA15" s="518"/>
      <c r="OIB15" s="518"/>
      <c r="OIC15" s="518"/>
      <c r="OID15" s="518"/>
      <c r="OIE15" s="518"/>
      <c r="OIF15" s="518"/>
      <c r="OIG15" s="518"/>
      <c r="OIH15" s="518"/>
      <c r="OII15" s="518"/>
      <c r="OIJ15" s="518"/>
      <c r="OIK15" s="518"/>
      <c r="OIL15" s="518"/>
      <c r="OIM15" s="518"/>
      <c r="OIN15" s="518"/>
      <c r="OIO15" s="518"/>
      <c r="OIP15" s="518"/>
      <c r="OIQ15" s="518"/>
      <c r="OIR15" s="518"/>
      <c r="OIS15" s="518"/>
      <c r="OIT15" s="518"/>
      <c r="OIU15" s="518"/>
      <c r="OIV15" s="518"/>
      <c r="OIW15" s="518"/>
      <c r="OIX15" s="518"/>
      <c r="OIY15" s="518"/>
      <c r="OIZ15" s="518"/>
      <c r="OJA15" s="518"/>
      <c r="OJB15" s="518"/>
      <c r="OJC15" s="518"/>
      <c r="OJD15" s="518"/>
      <c r="OJE15" s="518"/>
      <c r="OJF15" s="518"/>
      <c r="OJG15" s="518"/>
      <c r="OJH15" s="518"/>
      <c r="OJI15" s="518"/>
      <c r="OJJ15" s="518"/>
      <c r="OJK15" s="518"/>
      <c r="OJL15" s="518"/>
      <c r="OJM15" s="518"/>
      <c r="OJN15" s="518"/>
      <c r="OJO15" s="518"/>
      <c r="OJP15" s="518"/>
      <c r="OJQ15" s="518"/>
      <c r="OJR15" s="518"/>
      <c r="OJS15" s="518"/>
      <c r="OJT15" s="518"/>
      <c r="OJU15" s="518"/>
      <c r="OJV15" s="518"/>
      <c r="OJW15" s="518"/>
      <c r="OJX15" s="518"/>
      <c r="OJY15" s="518"/>
      <c r="OJZ15" s="518"/>
      <c r="OKA15" s="518"/>
      <c r="OKB15" s="518"/>
      <c r="OKC15" s="518"/>
      <c r="OKD15" s="518"/>
      <c r="OKE15" s="518"/>
      <c r="OKF15" s="518"/>
      <c r="OKG15" s="518"/>
      <c r="OKH15" s="518"/>
      <c r="OKI15" s="518"/>
      <c r="OKJ15" s="518"/>
      <c r="OKK15" s="518"/>
      <c r="OKL15" s="518"/>
      <c r="OKM15" s="518"/>
      <c r="OKN15" s="518"/>
      <c r="OKO15" s="518"/>
      <c r="OKP15" s="518"/>
      <c r="OKQ15" s="518"/>
      <c r="OKR15" s="518"/>
      <c r="OKS15" s="518"/>
      <c r="OKT15" s="518"/>
      <c r="OKU15" s="518"/>
      <c r="OKV15" s="518"/>
      <c r="OKW15" s="518"/>
      <c r="OKX15" s="518"/>
      <c r="OKY15" s="518"/>
      <c r="OKZ15" s="518"/>
      <c r="OLA15" s="518"/>
      <c r="OLB15" s="518"/>
      <c r="OLC15" s="518"/>
      <c r="OLD15" s="518"/>
      <c r="OLE15" s="518"/>
      <c r="OLF15" s="518"/>
      <c r="OLG15" s="518"/>
      <c r="OLH15" s="518"/>
      <c r="OLI15" s="518"/>
      <c r="OLJ15" s="518"/>
      <c r="OLK15" s="518"/>
      <c r="OLL15" s="518"/>
      <c r="OLM15" s="518"/>
      <c r="OLN15" s="518"/>
      <c r="OLO15" s="518"/>
      <c r="OLP15" s="518"/>
      <c r="OLQ15" s="518"/>
      <c r="OLR15" s="518"/>
      <c r="OLS15" s="518"/>
      <c r="OLT15" s="518"/>
      <c r="OLU15" s="518"/>
      <c r="OLV15" s="518"/>
      <c r="OLW15" s="518"/>
      <c r="OLX15" s="518"/>
      <c r="OLY15" s="518"/>
      <c r="OLZ15" s="518"/>
      <c r="OMA15" s="518"/>
      <c r="OMB15" s="518"/>
      <c r="OMC15" s="518"/>
      <c r="OMD15" s="518"/>
      <c r="OME15" s="518"/>
      <c r="OMF15" s="518"/>
      <c r="OMG15" s="518"/>
      <c r="OMH15" s="518"/>
      <c r="OMI15" s="518"/>
      <c r="OMJ15" s="518"/>
      <c r="OMK15" s="518"/>
      <c r="OML15" s="518"/>
      <c r="OMM15" s="518"/>
      <c r="OMN15" s="518"/>
      <c r="OMO15" s="518"/>
      <c r="OMP15" s="518"/>
      <c r="OMQ15" s="518"/>
      <c r="OMR15" s="518"/>
      <c r="OMS15" s="518"/>
      <c r="OMT15" s="518"/>
      <c r="OMU15" s="518"/>
      <c r="OMV15" s="518"/>
      <c r="OMW15" s="518"/>
      <c r="OMX15" s="518"/>
      <c r="OMY15" s="518"/>
      <c r="OMZ15" s="518"/>
      <c r="ONA15" s="518"/>
      <c r="ONB15" s="518"/>
      <c r="ONC15" s="518"/>
      <c r="OND15" s="518"/>
      <c r="ONE15" s="518"/>
      <c r="ONF15" s="518"/>
      <c r="ONG15" s="518"/>
      <c r="ONH15" s="518"/>
      <c r="ONI15" s="518"/>
      <c r="ONJ15" s="518"/>
      <c r="ONK15" s="518"/>
      <c r="ONL15" s="518"/>
      <c r="ONM15" s="518"/>
      <c r="ONN15" s="518"/>
      <c r="ONO15" s="518"/>
      <c r="ONP15" s="518"/>
      <c r="ONQ15" s="518"/>
      <c r="ONR15" s="518"/>
      <c r="ONS15" s="518"/>
      <c r="ONT15" s="518"/>
      <c r="ONU15" s="518"/>
      <c r="ONV15" s="518"/>
      <c r="ONW15" s="518"/>
      <c r="ONX15" s="518"/>
      <c r="ONY15" s="518"/>
      <c r="ONZ15" s="518"/>
      <c r="OOA15" s="518"/>
      <c r="OOB15" s="518"/>
      <c r="OOC15" s="518"/>
      <c r="OOD15" s="518"/>
      <c r="OOE15" s="518"/>
      <c r="OOF15" s="518"/>
      <c r="OOG15" s="518"/>
      <c r="OOH15" s="518"/>
      <c r="OOI15" s="518"/>
      <c r="OOJ15" s="518"/>
      <c r="OOK15" s="518"/>
      <c r="OOL15" s="518"/>
      <c r="OOM15" s="518"/>
      <c r="OON15" s="518"/>
      <c r="OOO15" s="518"/>
      <c r="OOP15" s="518"/>
      <c r="OOQ15" s="518"/>
      <c r="OOR15" s="518"/>
      <c r="OOS15" s="518"/>
      <c r="OOT15" s="518"/>
      <c r="OOU15" s="518"/>
      <c r="OOV15" s="518"/>
      <c r="OOW15" s="518"/>
      <c r="OOX15" s="518"/>
      <c r="OOY15" s="518"/>
      <c r="OOZ15" s="518"/>
      <c r="OPA15" s="518"/>
      <c r="OPB15" s="518"/>
      <c r="OPC15" s="518"/>
      <c r="OPD15" s="518"/>
      <c r="OPE15" s="518"/>
      <c r="OPF15" s="518"/>
      <c r="OPG15" s="518"/>
      <c r="OPH15" s="518"/>
      <c r="OPI15" s="518"/>
      <c r="OPJ15" s="518"/>
      <c r="OPK15" s="518"/>
      <c r="OPL15" s="518"/>
      <c r="OPM15" s="518"/>
      <c r="OPN15" s="518"/>
      <c r="OPO15" s="518"/>
      <c r="OPP15" s="518"/>
      <c r="OPQ15" s="518"/>
      <c r="OPR15" s="518"/>
      <c r="OPS15" s="518"/>
      <c r="OPT15" s="518"/>
      <c r="OPU15" s="518"/>
      <c r="OPV15" s="518"/>
      <c r="OPW15" s="518"/>
      <c r="OPX15" s="518"/>
      <c r="OPY15" s="518"/>
      <c r="OPZ15" s="518"/>
      <c r="OQA15" s="518"/>
      <c r="OQB15" s="518"/>
      <c r="OQC15" s="518"/>
      <c r="OQD15" s="518"/>
      <c r="OQE15" s="518"/>
      <c r="OQF15" s="518"/>
      <c r="OQG15" s="518"/>
      <c r="OQH15" s="518"/>
      <c r="OQI15" s="518"/>
      <c r="OQJ15" s="518"/>
      <c r="OQK15" s="518"/>
      <c r="OQL15" s="518"/>
      <c r="OQM15" s="518"/>
      <c r="OQN15" s="518"/>
      <c r="OQO15" s="518"/>
      <c r="OQP15" s="518"/>
      <c r="OQQ15" s="518"/>
      <c r="OQR15" s="518"/>
      <c r="OQS15" s="518"/>
      <c r="OQT15" s="518"/>
      <c r="OQU15" s="518"/>
      <c r="OQV15" s="518"/>
      <c r="OQW15" s="518"/>
      <c r="OQX15" s="518"/>
      <c r="OQY15" s="518"/>
      <c r="OQZ15" s="518"/>
      <c r="ORA15" s="518"/>
      <c r="ORB15" s="518"/>
      <c r="ORC15" s="518"/>
      <c r="ORD15" s="518"/>
      <c r="ORE15" s="518"/>
      <c r="ORF15" s="518"/>
      <c r="ORG15" s="518"/>
      <c r="ORH15" s="518"/>
      <c r="ORI15" s="518"/>
      <c r="ORJ15" s="518"/>
      <c r="ORK15" s="518"/>
      <c r="ORL15" s="518"/>
      <c r="ORM15" s="518"/>
      <c r="ORN15" s="518"/>
      <c r="ORO15" s="518"/>
      <c r="ORP15" s="518"/>
      <c r="ORQ15" s="518"/>
      <c r="ORR15" s="518"/>
      <c r="ORS15" s="518"/>
      <c r="ORT15" s="518"/>
      <c r="ORU15" s="518"/>
      <c r="ORV15" s="518"/>
      <c r="ORW15" s="518"/>
      <c r="ORX15" s="518"/>
      <c r="ORY15" s="518"/>
      <c r="ORZ15" s="518"/>
      <c r="OSA15" s="518"/>
      <c r="OSB15" s="518"/>
      <c r="OSC15" s="518"/>
      <c r="OSD15" s="518"/>
      <c r="OSE15" s="518"/>
      <c r="OSF15" s="518"/>
      <c r="OSG15" s="518"/>
      <c r="OSH15" s="518"/>
      <c r="OSI15" s="518"/>
      <c r="OSJ15" s="518"/>
      <c r="OSK15" s="518"/>
      <c r="OSL15" s="518"/>
      <c r="OSM15" s="518"/>
      <c r="OSN15" s="518"/>
      <c r="OSO15" s="518"/>
      <c r="OSP15" s="518"/>
      <c r="OSQ15" s="518"/>
      <c r="OSR15" s="518"/>
      <c r="OSS15" s="518"/>
      <c r="OST15" s="518"/>
      <c r="OSU15" s="518"/>
      <c r="OSV15" s="518"/>
      <c r="OSW15" s="518"/>
      <c r="OSX15" s="518"/>
      <c r="OSY15" s="518"/>
      <c r="OSZ15" s="518"/>
      <c r="OTA15" s="518"/>
      <c r="OTB15" s="518"/>
      <c r="OTC15" s="518"/>
      <c r="OTD15" s="518"/>
      <c r="OTE15" s="518"/>
      <c r="OTF15" s="518"/>
      <c r="OTG15" s="518"/>
      <c r="OTH15" s="518"/>
      <c r="OTI15" s="518"/>
      <c r="OTJ15" s="518"/>
      <c r="OTK15" s="518"/>
      <c r="OTL15" s="518"/>
      <c r="OTM15" s="518"/>
      <c r="OTN15" s="518"/>
      <c r="OTO15" s="518"/>
      <c r="OTP15" s="518"/>
      <c r="OTQ15" s="518"/>
      <c r="OTR15" s="518"/>
      <c r="OTS15" s="518"/>
      <c r="OTT15" s="518"/>
      <c r="OTU15" s="518"/>
      <c r="OTV15" s="518"/>
      <c r="OTW15" s="518"/>
      <c r="OTX15" s="518"/>
      <c r="OTY15" s="518"/>
      <c r="OTZ15" s="518"/>
      <c r="OUA15" s="518"/>
      <c r="OUB15" s="518"/>
      <c r="OUC15" s="518"/>
      <c r="OUD15" s="518"/>
      <c r="OUE15" s="518"/>
      <c r="OUF15" s="518"/>
      <c r="OUG15" s="518"/>
      <c r="OUH15" s="518"/>
      <c r="OUI15" s="518"/>
      <c r="OUJ15" s="518"/>
      <c r="OUK15" s="518"/>
      <c r="OUL15" s="518"/>
      <c r="OUM15" s="518"/>
      <c r="OUN15" s="518"/>
      <c r="OUO15" s="518"/>
      <c r="OUP15" s="518"/>
      <c r="OUQ15" s="518"/>
      <c r="OUR15" s="518"/>
      <c r="OUS15" s="518"/>
      <c r="OUT15" s="518"/>
      <c r="OUU15" s="518"/>
      <c r="OUV15" s="518"/>
      <c r="OUW15" s="518"/>
      <c r="OUX15" s="518"/>
      <c r="OUY15" s="518"/>
      <c r="OUZ15" s="518"/>
      <c r="OVA15" s="518"/>
      <c r="OVB15" s="518"/>
      <c r="OVC15" s="518"/>
      <c r="OVD15" s="518"/>
      <c r="OVE15" s="518"/>
      <c r="OVF15" s="518"/>
      <c r="OVG15" s="518"/>
      <c r="OVH15" s="518"/>
      <c r="OVI15" s="518"/>
      <c r="OVJ15" s="518"/>
      <c r="OVK15" s="518"/>
      <c r="OVL15" s="518"/>
      <c r="OVM15" s="518"/>
      <c r="OVN15" s="518"/>
      <c r="OVO15" s="518"/>
      <c r="OVP15" s="518"/>
      <c r="OVQ15" s="518"/>
      <c r="OVR15" s="518"/>
      <c r="OVS15" s="518"/>
      <c r="OVT15" s="518"/>
      <c r="OVU15" s="518"/>
      <c r="OVV15" s="518"/>
      <c r="OVW15" s="518"/>
      <c r="OVX15" s="518"/>
      <c r="OVY15" s="518"/>
      <c r="OVZ15" s="518"/>
      <c r="OWA15" s="518"/>
      <c r="OWB15" s="518"/>
      <c r="OWC15" s="518"/>
      <c r="OWD15" s="518"/>
      <c r="OWE15" s="518"/>
      <c r="OWF15" s="518"/>
      <c r="OWG15" s="518"/>
      <c r="OWH15" s="518"/>
      <c r="OWI15" s="518"/>
      <c r="OWJ15" s="518"/>
      <c r="OWK15" s="518"/>
      <c r="OWL15" s="518"/>
      <c r="OWM15" s="518"/>
      <c r="OWN15" s="518"/>
      <c r="OWO15" s="518"/>
      <c r="OWP15" s="518"/>
      <c r="OWQ15" s="518"/>
      <c r="OWR15" s="518"/>
      <c r="OWS15" s="518"/>
      <c r="OWT15" s="518"/>
      <c r="OWU15" s="518"/>
      <c r="OWV15" s="518"/>
      <c r="OWW15" s="518"/>
      <c r="OWX15" s="518"/>
      <c r="OWY15" s="518"/>
      <c r="OWZ15" s="518"/>
      <c r="OXA15" s="518"/>
      <c r="OXB15" s="518"/>
      <c r="OXC15" s="518"/>
      <c r="OXD15" s="518"/>
      <c r="OXE15" s="518"/>
      <c r="OXF15" s="518"/>
      <c r="OXG15" s="518"/>
      <c r="OXH15" s="518"/>
      <c r="OXI15" s="518"/>
      <c r="OXJ15" s="518"/>
      <c r="OXK15" s="518"/>
      <c r="OXL15" s="518"/>
      <c r="OXM15" s="518"/>
      <c r="OXN15" s="518"/>
      <c r="OXO15" s="518"/>
      <c r="OXP15" s="518"/>
      <c r="OXQ15" s="518"/>
      <c r="OXR15" s="518"/>
      <c r="OXS15" s="518"/>
      <c r="OXT15" s="518"/>
      <c r="OXU15" s="518"/>
      <c r="OXV15" s="518"/>
      <c r="OXW15" s="518"/>
      <c r="OXX15" s="518"/>
      <c r="OXY15" s="518"/>
      <c r="OXZ15" s="518"/>
      <c r="OYA15" s="518"/>
      <c r="OYB15" s="518"/>
      <c r="OYC15" s="518"/>
      <c r="OYD15" s="518"/>
      <c r="OYE15" s="518"/>
      <c r="OYF15" s="518"/>
      <c r="OYG15" s="518"/>
      <c r="OYH15" s="518"/>
      <c r="OYI15" s="518"/>
      <c r="OYJ15" s="518"/>
      <c r="OYK15" s="518"/>
      <c r="OYL15" s="518"/>
      <c r="OYM15" s="518"/>
      <c r="OYN15" s="518"/>
      <c r="OYO15" s="518"/>
      <c r="OYP15" s="518"/>
      <c r="OYQ15" s="518"/>
      <c r="OYR15" s="518"/>
      <c r="OYS15" s="518"/>
      <c r="OYT15" s="518"/>
      <c r="OYU15" s="518"/>
      <c r="OYV15" s="518"/>
      <c r="OYW15" s="518"/>
      <c r="OYX15" s="518"/>
      <c r="OYY15" s="518"/>
      <c r="OYZ15" s="518"/>
      <c r="OZA15" s="518"/>
      <c r="OZB15" s="518"/>
      <c r="OZC15" s="518"/>
      <c r="OZD15" s="518"/>
      <c r="OZE15" s="518"/>
      <c r="OZF15" s="518"/>
      <c r="OZG15" s="518"/>
      <c r="OZH15" s="518"/>
      <c r="OZI15" s="518"/>
      <c r="OZJ15" s="518"/>
      <c r="OZK15" s="518"/>
      <c r="OZL15" s="518"/>
      <c r="OZM15" s="518"/>
      <c r="OZN15" s="518"/>
      <c r="OZO15" s="518"/>
      <c r="OZP15" s="518"/>
      <c r="OZQ15" s="518"/>
      <c r="OZR15" s="518"/>
      <c r="OZS15" s="518"/>
      <c r="OZT15" s="518"/>
      <c r="OZU15" s="518"/>
      <c r="OZV15" s="518"/>
      <c r="OZW15" s="518"/>
      <c r="OZX15" s="518"/>
      <c r="OZY15" s="518"/>
      <c r="OZZ15" s="518"/>
      <c r="PAA15" s="518"/>
      <c r="PAB15" s="518"/>
      <c r="PAC15" s="518"/>
      <c r="PAD15" s="518"/>
      <c r="PAE15" s="518"/>
      <c r="PAF15" s="518"/>
      <c r="PAG15" s="518"/>
      <c r="PAH15" s="518"/>
      <c r="PAI15" s="518"/>
      <c r="PAJ15" s="518"/>
      <c r="PAK15" s="518"/>
      <c r="PAL15" s="518"/>
      <c r="PAM15" s="518"/>
      <c r="PAN15" s="518"/>
      <c r="PAO15" s="518"/>
      <c r="PAP15" s="518"/>
      <c r="PAQ15" s="518"/>
      <c r="PAR15" s="518"/>
      <c r="PAS15" s="518"/>
      <c r="PAT15" s="518"/>
      <c r="PAU15" s="518"/>
      <c r="PAV15" s="518"/>
      <c r="PAW15" s="518"/>
      <c r="PAX15" s="518"/>
      <c r="PAY15" s="518"/>
      <c r="PAZ15" s="518"/>
      <c r="PBA15" s="518"/>
      <c r="PBB15" s="518"/>
      <c r="PBC15" s="518"/>
      <c r="PBD15" s="518"/>
      <c r="PBE15" s="518"/>
      <c r="PBF15" s="518"/>
      <c r="PBG15" s="518"/>
      <c r="PBH15" s="518"/>
      <c r="PBI15" s="518"/>
      <c r="PBJ15" s="518"/>
      <c r="PBK15" s="518"/>
      <c r="PBL15" s="518"/>
      <c r="PBM15" s="518"/>
      <c r="PBN15" s="518"/>
      <c r="PBO15" s="518"/>
      <c r="PBP15" s="518"/>
      <c r="PBQ15" s="518"/>
      <c r="PBR15" s="518"/>
      <c r="PBS15" s="518"/>
      <c r="PBT15" s="518"/>
      <c r="PBU15" s="518"/>
      <c r="PBV15" s="518"/>
      <c r="PBW15" s="518"/>
      <c r="PBX15" s="518"/>
      <c r="PBY15" s="518"/>
      <c r="PBZ15" s="518"/>
      <c r="PCA15" s="518"/>
      <c r="PCB15" s="518"/>
      <c r="PCC15" s="518"/>
      <c r="PCD15" s="518"/>
      <c r="PCE15" s="518"/>
      <c r="PCF15" s="518"/>
      <c r="PCG15" s="518"/>
      <c r="PCH15" s="518"/>
      <c r="PCI15" s="518"/>
      <c r="PCJ15" s="518"/>
      <c r="PCK15" s="518"/>
      <c r="PCL15" s="518"/>
      <c r="PCM15" s="518"/>
      <c r="PCN15" s="518"/>
      <c r="PCO15" s="518"/>
      <c r="PCP15" s="518"/>
      <c r="PCQ15" s="518"/>
      <c r="PCR15" s="518"/>
      <c r="PCS15" s="518"/>
      <c r="PCT15" s="518"/>
      <c r="PCU15" s="518"/>
      <c r="PCV15" s="518"/>
      <c r="PCW15" s="518"/>
      <c r="PCX15" s="518"/>
      <c r="PCY15" s="518"/>
      <c r="PCZ15" s="518"/>
      <c r="PDA15" s="518"/>
      <c r="PDB15" s="518"/>
      <c r="PDC15" s="518"/>
      <c r="PDD15" s="518"/>
      <c r="PDE15" s="518"/>
      <c r="PDF15" s="518"/>
      <c r="PDG15" s="518"/>
      <c r="PDH15" s="518"/>
      <c r="PDI15" s="518"/>
      <c r="PDJ15" s="518"/>
      <c r="PDK15" s="518"/>
      <c r="PDL15" s="518"/>
      <c r="PDM15" s="518"/>
      <c r="PDN15" s="518"/>
      <c r="PDO15" s="518"/>
      <c r="PDP15" s="518"/>
      <c r="PDQ15" s="518"/>
      <c r="PDR15" s="518"/>
      <c r="PDS15" s="518"/>
      <c r="PDT15" s="518"/>
      <c r="PDU15" s="518"/>
      <c r="PDV15" s="518"/>
      <c r="PDW15" s="518"/>
      <c r="PDX15" s="518"/>
      <c r="PDY15" s="518"/>
      <c r="PDZ15" s="518"/>
      <c r="PEA15" s="518"/>
      <c r="PEB15" s="518"/>
      <c r="PEC15" s="518"/>
      <c r="PED15" s="518"/>
      <c r="PEE15" s="518"/>
      <c r="PEF15" s="518"/>
      <c r="PEG15" s="518"/>
      <c r="PEH15" s="518"/>
      <c r="PEI15" s="518"/>
      <c r="PEJ15" s="518"/>
      <c r="PEK15" s="518"/>
      <c r="PEL15" s="518"/>
      <c r="PEM15" s="518"/>
      <c r="PEN15" s="518"/>
      <c r="PEO15" s="518"/>
      <c r="PEP15" s="518"/>
      <c r="PEQ15" s="518"/>
      <c r="PER15" s="518"/>
      <c r="PES15" s="518"/>
      <c r="PET15" s="518"/>
      <c r="PEU15" s="518"/>
      <c r="PEV15" s="518"/>
      <c r="PEW15" s="518"/>
      <c r="PEX15" s="518"/>
      <c r="PEY15" s="518"/>
      <c r="PEZ15" s="518"/>
      <c r="PFA15" s="518"/>
      <c r="PFB15" s="518"/>
      <c r="PFC15" s="518"/>
      <c r="PFD15" s="518"/>
      <c r="PFE15" s="518"/>
      <c r="PFF15" s="518"/>
      <c r="PFG15" s="518"/>
      <c r="PFH15" s="518"/>
      <c r="PFI15" s="518"/>
      <c r="PFJ15" s="518"/>
      <c r="PFK15" s="518"/>
      <c r="PFL15" s="518"/>
      <c r="PFM15" s="518"/>
      <c r="PFN15" s="518"/>
      <c r="PFO15" s="518"/>
      <c r="PFP15" s="518"/>
      <c r="PFQ15" s="518"/>
      <c r="PFR15" s="518"/>
      <c r="PFS15" s="518"/>
      <c r="PFT15" s="518"/>
      <c r="PFU15" s="518"/>
      <c r="PFV15" s="518"/>
      <c r="PFW15" s="518"/>
      <c r="PFX15" s="518"/>
      <c r="PFY15" s="518"/>
      <c r="PFZ15" s="518"/>
      <c r="PGA15" s="518"/>
      <c r="PGB15" s="518"/>
      <c r="PGC15" s="518"/>
      <c r="PGD15" s="518"/>
      <c r="PGE15" s="518"/>
      <c r="PGF15" s="518"/>
      <c r="PGG15" s="518"/>
      <c r="PGH15" s="518"/>
      <c r="PGI15" s="518"/>
      <c r="PGJ15" s="518"/>
      <c r="PGK15" s="518"/>
      <c r="PGL15" s="518"/>
      <c r="PGM15" s="518"/>
      <c r="PGN15" s="518"/>
      <c r="PGO15" s="518"/>
      <c r="PGP15" s="518"/>
      <c r="PGQ15" s="518"/>
      <c r="PGR15" s="518"/>
      <c r="PGS15" s="518"/>
      <c r="PGT15" s="518"/>
      <c r="PGU15" s="518"/>
      <c r="PGV15" s="518"/>
      <c r="PGW15" s="518"/>
      <c r="PGX15" s="518"/>
      <c r="PGY15" s="518"/>
      <c r="PGZ15" s="518"/>
      <c r="PHA15" s="518"/>
      <c r="PHB15" s="518"/>
      <c r="PHC15" s="518"/>
      <c r="PHD15" s="518"/>
      <c r="PHE15" s="518"/>
      <c r="PHF15" s="518"/>
      <c r="PHG15" s="518"/>
      <c r="PHH15" s="518"/>
      <c r="PHI15" s="518"/>
      <c r="PHJ15" s="518"/>
      <c r="PHK15" s="518"/>
      <c r="PHL15" s="518"/>
      <c r="PHM15" s="518"/>
      <c r="PHN15" s="518"/>
      <c r="PHO15" s="518"/>
      <c r="PHP15" s="518"/>
      <c r="PHQ15" s="518"/>
      <c r="PHR15" s="518"/>
      <c r="PHS15" s="518"/>
      <c r="PHT15" s="518"/>
      <c r="PHU15" s="518"/>
      <c r="PHV15" s="518"/>
      <c r="PHW15" s="518"/>
      <c r="PHX15" s="518"/>
      <c r="PHY15" s="518"/>
      <c r="PHZ15" s="518"/>
      <c r="PIA15" s="518"/>
      <c r="PIB15" s="518"/>
      <c r="PIC15" s="518"/>
      <c r="PID15" s="518"/>
      <c r="PIE15" s="518"/>
      <c r="PIF15" s="518"/>
      <c r="PIG15" s="518"/>
      <c r="PIH15" s="518"/>
      <c r="PII15" s="518"/>
      <c r="PIJ15" s="518"/>
      <c r="PIK15" s="518"/>
      <c r="PIL15" s="518"/>
      <c r="PIM15" s="518"/>
      <c r="PIN15" s="518"/>
      <c r="PIO15" s="518"/>
      <c r="PIP15" s="518"/>
      <c r="PIQ15" s="518"/>
      <c r="PIR15" s="518"/>
      <c r="PIS15" s="518"/>
      <c r="PIT15" s="518"/>
      <c r="PIU15" s="518"/>
      <c r="PIV15" s="518"/>
      <c r="PIW15" s="518"/>
      <c r="PIX15" s="518"/>
      <c r="PIY15" s="518"/>
      <c r="PIZ15" s="518"/>
      <c r="PJA15" s="518"/>
      <c r="PJB15" s="518"/>
      <c r="PJC15" s="518"/>
      <c r="PJD15" s="518"/>
      <c r="PJE15" s="518"/>
      <c r="PJF15" s="518"/>
      <c r="PJG15" s="518"/>
      <c r="PJH15" s="518"/>
      <c r="PJI15" s="518"/>
      <c r="PJJ15" s="518"/>
      <c r="PJK15" s="518"/>
      <c r="PJL15" s="518"/>
      <c r="PJM15" s="518"/>
      <c r="PJN15" s="518"/>
      <c r="PJO15" s="518"/>
      <c r="PJP15" s="518"/>
      <c r="PJQ15" s="518"/>
      <c r="PJR15" s="518"/>
      <c r="PJS15" s="518"/>
      <c r="PJT15" s="518"/>
      <c r="PJU15" s="518"/>
      <c r="PJV15" s="518"/>
      <c r="PJW15" s="518"/>
      <c r="PJX15" s="518"/>
      <c r="PJY15" s="518"/>
      <c r="PJZ15" s="518"/>
      <c r="PKA15" s="518"/>
      <c r="PKB15" s="518"/>
      <c r="PKC15" s="518"/>
      <c r="PKD15" s="518"/>
      <c r="PKE15" s="518"/>
      <c r="PKF15" s="518"/>
      <c r="PKG15" s="518"/>
      <c r="PKH15" s="518"/>
      <c r="PKI15" s="518"/>
      <c r="PKJ15" s="518"/>
      <c r="PKK15" s="518"/>
      <c r="PKL15" s="518"/>
      <c r="PKM15" s="518"/>
      <c r="PKN15" s="518"/>
      <c r="PKO15" s="518"/>
      <c r="PKP15" s="518"/>
      <c r="PKQ15" s="518"/>
      <c r="PKR15" s="518"/>
      <c r="PKS15" s="518"/>
      <c r="PKT15" s="518"/>
      <c r="PKU15" s="518"/>
      <c r="PKV15" s="518"/>
      <c r="PKW15" s="518"/>
      <c r="PKX15" s="518"/>
      <c r="PKY15" s="518"/>
      <c r="PKZ15" s="518"/>
      <c r="PLA15" s="518"/>
      <c r="PLB15" s="518"/>
      <c r="PLC15" s="518"/>
      <c r="PLD15" s="518"/>
      <c r="PLE15" s="518"/>
      <c r="PLF15" s="518"/>
      <c r="PLG15" s="518"/>
      <c r="PLH15" s="518"/>
      <c r="PLI15" s="518"/>
      <c r="PLJ15" s="518"/>
      <c r="PLK15" s="518"/>
      <c r="PLL15" s="518"/>
      <c r="PLM15" s="518"/>
      <c r="PLN15" s="518"/>
      <c r="PLO15" s="518"/>
      <c r="PLP15" s="518"/>
      <c r="PLQ15" s="518"/>
      <c r="PLR15" s="518"/>
      <c r="PLS15" s="518"/>
      <c r="PLT15" s="518"/>
      <c r="PLU15" s="518"/>
      <c r="PLV15" s="518"/>
      <c r="PLW15" s="518"/>
      <c r="PLX15" s="518"/>
      <c r="PLY15" s="518"/>
      <c r="PLZ15" s="518"/>
      <c r="PMA15" s="518"/>
      <c r="PMB15" s="518"/>
      <c r="PMC15" s="518"/>
      <c r="PMD15" s="518"/>
      <c r="PME15" s="518"/>
      <c r="PMF15" s="518"/>
      <c r="PMG15" s="518"/>
      <c r="PMH15" s="518"/>
      <c r="PMI15" s="518"/>
      <c r="PMJ15" s="518"/>
      <c r="PMK15" s="518"/>
      <c r="PML15" s="518"/>
      <c r="PMM15" s="518"/>
      <c r="PMN15" s="518"/>
      <c r="PMO15" s="518"/>
      <c r="PMP15" s="518"/>
      <c r="PMQ15" s="518"/>
      <c r="PMR15" s="518"/>
      <c r="PMS15" s="518"/>
      <c r="PMT15" s="518"/>
      <c r="PMU15" s="518"/>
      <c r="PMV15" s="518"/>
      <c r="PMW15" s="518"/>
      <c r="PMX15" s="518"/>
      <c r="PMY15" s="518"/>
      <c r="PMZ15" s="518"/>
      <c r="PNA15" s="518"/>
      <c r="PNB15" s="518"/>
      <c r="PNC15" s="518"/>
      <c r="PND15" s="518"/>
      <c r="PNE15" s="518"/>
      <c r="PNF15" s="518"/>
      <c r="PNG15" s="518"/>
      <c r="PNH15" s="518"/>
      <c r="PNI15" s="518"/>
      <c r="PNJ15" s="518"/>
      <c r="PNK15" s="518"/>
      <c r="PNL15" s="518"/>
      <c r="PNM15" s="518"/>
      <c r="PNN15" s="518"/>
      <c r="PNO15" s="518"/>
      <c r="PNP15" s="518"/>
      <c r="PNQ15" s="518"/>
      <c r="PNR15" s="518"/>
      <c r="PNS15" s="518"/>
      <c r="PNT15" s="518"/>
      <c r="PNU15" s="518"/>
      <c r="PNV15" s="518"/>
      <c r="PNW15" s="518"/>
      <c r="PNX15" s="518"/>
      <c r="PNY15" s="518"/>
      <c r="PNZ15" s="518"/>
      <c r="POA15" s="518"/>
      <c r="POB15" s="518"/>
      <c r="POC15" s="518"/>
      <c r="POD15" s="518"/>
      <c r="POE15" s="518"/>
      <c r="POF15" s="518"/>
      <c r="POG15" s="518"/>
      <c r="POH15" s="518"/>
      <c r="POI15" s="518"/>
      <c r="POJ15" s="518"/>
      <c r="POK15" s="518"/>
      <c r="POL15" s="518"/>
      <c r="POM15" s="518"/>
      <c r="PON15" s="518"/>
      <c r="POO15" s="518"/>
      <c r="POP15" s="518"/>
      <c r="POQ15" s="518"/>
      <c r="POR15" s="518"/>
      <c r="POS15" s="518"/>
      <c r="POT15" s="518"/>
      <c r="POU15" s="518"/>
      <c r="POV15" s="518"/>
      <c r="POW15" s="518"/>
      <c r="POX15" s="518"/>
      <c r="POY15" s="518"/>
      <c r="POZ15" s="518"/>
      <c r="PPA15" s="518"/>
      <c r="PPB15" s="518"/>
      <c r="PPC15" s="518"/>
      <c r="PPD15" s="518"/>
      <c r="PPE15" s="518"/>
      <c r="PPF15" s="518"/>
      <c r="PPG15" s="518"/>
      <c r="PPH15" s="518"/>
      <c r="PPI15" s="518"/>
      <c r="PPJ15" s="518"/>
      <c r="PPK15" s="518"/>
      <c r="PPL15" s="518"/>
      <c r="PPM15" s="518"/>
      <c r="PPN15" s="518"/>
      <c r="PPO15" s="518"/>
      <c r="PPP15" s="518"/>
      <c r="PPQ15" s="518"/>
      <c r="PPR15" s="518"/>
      <c r="PPS15" s="518"/>
      <c r="PPT15" s="518"/>
      <c r="PPU15" s="518"/>
      <c r="PPV15" s="518"/>
      <c r="PPW15" s="518"/>
      <c r="PPX15" s="518"/>
      <c r="PPY15" s="518"/>
      <c r="PPZ15" s="518"/>
      <c r="PQA15" s="518"/>
      <c r="PQB15" s="518"/>
      <c r="PQC15" s="518"/>
      <c r="PQD15" s="518"/>
      <c r="PQE15" s="518"/>
      <c r="PQF15" s="518"/>
      <c r="PQG15" s="518"/>
      <c r="PQH15" s="518"/>
      <c r="PQI15" s="518"/>
      <c r="PQJ15" s="518"/>
      <c r="PQK15" s="518"/>
      <c r="PQL15" s="518"/>
      <c r="PQM15" s="518"/>
      <c r="PQN15" s="518"/>
      <c r="PQO15" s="518"/>
      <c r="PQP15" s="518"/>
      <c r="PQQ15" s="518"/>
      <c r="PQR15" s="518"/>
      <c r="PQS15" s="518"/>
      <c r="PQT15" s="518"/>
      <c r="PQU15" s="518"/>
      <c r="PQV15" s="518"/>
      <c r="PQW15" s="518"/>
      <c r="PQX15" s="518"/>
      <c r="PQY15" s="518"/>
      <c r="PQZ15" s="518"/>
      <c r="PRA15" s="518"/>
      <c r="PRB15" s="518"/>
      <c r="PRC15" s="518"/>
      <c r="PRD15" s="518"/>
      <c r="PRE15" s="518"/>
      <c r="PRF15" s="518"/>
      <c r="PRG15" s="518"/>
      <c r="PRH15" s="518"/>
      <c r="PRI15" s="518"/>
      <c r="PRJ15" s="518"/>
      <c r="PRK15" s="518"/>
      <c r="PRL15" s="518"/>
      <c r="PRM15" s="518"/>
      <c r="PRN15" s="518"/>
      <c r="PRO15" s="518"/>
      <c r="PRP15" s="518"/>
      <c r="PRQ15" s="518"/>
      <c r="PRR15" s="518"/>
      <c r="PRS15" s="518"/>
      <c r="PRT15" s="518"/>
      <c r="PRU15" s="518"/>
      <c r="PRV15" s="518"/>
      <c r="PRW15" s="518"/>
      <c r="PRX15" s="518"/>
      <c r="PRY15" s="518"/>
      <c r="PRZ15" s="518"/>
      <c r="PSA15" s="518"/>
      <c r="PSB15" s="518"/>
      <c r="PSC15" s="518"/>
      <c r="PSD15" s="518"/>
      <c r="PSE15" s="518"/>
      <c r="PSF15" s="518"/>
      <c r="PSG15" s="518"/>
      <c r="PSH15" s="518"/>
      <c r="PSI15" s="518"/>
      <c r="PSJ15" s="518"/>
      <c r="PSK15" s="518"/>
      <c r="PSL15" s="518"/>
      <c r="PSM15" s="518"/>
      <c r="PSN15" s="518"/>
      <c r="PSO15" s="518"/>
      <c r="PSP15" s="518"/>
      <c r="PSQ15" s="518"/>
      <c r="PSR15" s="518"/>
      <c r="PSS15" s="518"/>
      <c r="PST15" s="518"/>
      <c r="PSU15" s="518"/>
      <c r="PSV15" s="518"/>
      <c r="PSW15" s="518"/>
      <c r="PSX15" s="518"/>
      <c r="PSY15" s="518"/>
      <c r="PSZ15" s="518"/>
      <c r="PTA15" s="518"/>
      <c r="PTB15" s="518"/>
      <c r="PTC15" s="518"/>
      <c r="PTD15" s="518"/>
      <c r="PTE15" s="518"/>
      <c r="PTF15" s="518"/>
      <c r="PTG15" s="518"/>
      <c r="PTH15" s="518"/>
      <c r="PTI15" s="518"/>
      <c r="PTJ15" s="518"/>
      <c r="PTK15" s="518"/>
      <c r="PTL15" s="518"/>
      <c r="PTM15" s="518"/>
      <c r="PTN15" s="518"/>
      <c r="PTO15" s="518"/>
      <c r="PTP15" s="518"/>
      <c r="PTQ15" s="518"/>
      <c r="PTR15" s="518"/>
      <c r="PTS15" s="518"/>
      <c r="PTT15" s="518"/>
      <c r="PTU15" s="518"/>
      <c r="PTV15" s="518"/>
      <c r="PTW15" s="518"/>
      <c r="PTX15" s="518"/>
      <c r="PTY15" s="518"/>
      <c r="PTZ15" s="518"/>
      <c r="PUA15" s="518"/>
      <c r="PUB15" s="518"/>
      <c r="PUC15" s="518"/>
      <c r="PUD15" s="518"/>
      <c r="PUE15" s="518"/>
      <c r="PUF15" s="518"/>
      <c r="PUG15" s="518"/>
      <c r="PUH15" s="518"/>
      <c r="PUI15" s="518"/>
      <c r="PUJ15" s="518"/>
      <c r="PUK15" s="518"/>
      <c r="PUL15" s="518"/>
      <c r="PUM15" s="518"/>
      <c r="PUN15" s="518"/>
      <c r="PUO15" s="518"/>
      <c r="PUP15" s="518"/>
      <c r="PUQ15" s="518"/>
      <c r="PUR15" s="518"/>
      <c r="PUS15" s="518"/>
      <c r="PUT15" s="518"/>
      <c r="PUU15" s="518"/>
      <c r="PUV15" s="518"/>
      <c r="PUW15" s="518"/>
      <c r="PUX15" s="518"/>
      <c r="PUY15" s="518"/>
      <c r="PUZ15" s="518"/>
      <c r="PVA15" s="518"/>
      <c r="PVB15" s="518"/>
      <c r="PVC15" s="518"/>
      <c r="PVD15" s="518"/>
      <c r="PVE15" s="518"/>
      <c r="PVF15" s="518"/>
      <c r="PVG15" s="518"/>
      <c r="PVH15" s="518"/>
      <c r="PVI15" s="518"/>
      <c r="PVJ15" s="518"/>
      <c r="PVK15" s="518"/>
      <c r="PVL15" s="518"/>
      <c r="PVM15" s="518"/>
      <c r="PVN15" s="518"/>
      <c r="PVO15" s="518"/>
      <c r="PVP15" s="518"/>
      <c r="PVQ15" s="518"/>
      <c r="PVR15" s="518"/>
      <c r="PVS15" s="518"/>
      <c r="PVT15" s="518"/>
      <c r="PVU15" s="518"/>
      <c r="PVV15" s="518"/>
      <c r="PVW15" s="518"/>
      <c r="PVX15" s="518"/>
      <c r="PVY15" s="518"/>
      <c r="PVZ15" s="518"/>
      <c r="PWA15" s="518"/>
      <c r="PWB15" s="518"/>
      <c r="PWC15" s="518"/>
      <c r="PWD15" s="518"/>
      <c r="PWE15" s="518"/>
      <c r="PWF15" s="518"/>
      <c r="PWG15" s="518"/>
      <c r="PWH15" s="518"/>
      <c r="PWI15" s="518"/>
      <c r="PWJ15" s="518"/>
      <c r="PWK15" s="518"/>
      <c r="PWL15" s="518"/>
      <c r="PWM15" s="518"/>
      <c r="PWN15" s="518"/>
      <c r="PWO15" s="518"/>
      <c r="PWP15" s="518"/>
      <c r="PWQ15" s="518"/>
      <c r="PWR15" s="518"/>
      <c r="PWS15" s="518"/>
      <c r="PWT15" s="518"/>
      <c r="PWU15" s="518"/>
      <c r="PWV15" s="518"/>
      <c r="PWW15" s="518"/>
      <c r="PWX15" s="518"/>
      <c r="PWY15" s="518"/>
      <c r="PWZ15" s="518"/>
      <c r="PXA15" s="518"/>
      <c r="PXB15" s="518"/>
      <c r="PXC15" s="518"/>
      <c r="PXD15" s="518"/>
      <c r="PXE15" s="518"/>
      <c r="PXF15" s="518"/>
      <c r="PXG15" s="518"/>
      <c r="PXH15" s="518"/>
      <c r="PXI15" s="518"/>
      <c r="PXJ15" s="518"/>
      <c r="PXK15" s="518"/>
      <c r="PXL15" s="518"/>
      <c r="PXM15" s="518"/>
      <c r="PXN15" s="518"/>
      <c r="PXO15" s="518"/>
      <c r="PXP15" s="518"/>
      <c r="PXQ15" s="518"/>
      <c r="PXR15" s="518"/>
      <c r="PXS15" s="518"/>
      <c r="PXT15" s="518"/>
      <c r="PXU15" s="518"/>
      <c r="PXV15" s="518"/>
      <c r="PXW15" s="518"/>
      <c r="PXX15" s="518"/>
      <c r="PXY15" s="518"/>
      <c r="PXZ15" s="518"/>
      <c r="PYA15" s="518"/>
      <c r="PYB15" s="518"/>
      <c r="PYC15" s="518"/>
      <c r="PYD15" s="518"/>
      <c r="PYE15" s="518"/>
      <c r="PYF15" s="518"/>
      <c r="PYG15" s="518"/>
      <c r="PYH15" s="518"/>
      <c r="PYI15" s="518"/>
      <c r="PYJ15" s="518"/>
      <c r="PYK15" s="518"/>
      <c r="PYL15" s="518"/>
      <c r="PYM15" s="518"/>
      <c r="PYN15" s="518"/>
      <c r="PYO15" s="518"/>
      <c r="PYP15" s="518"/>
      <c r="PYQ15" s="518"/>
      <c r="PYR15" s="518"/>
      <c r="PYS15" s="518"/>
      <c r="PYT15" s="518"/>
      <c r="PYU15" s="518"/>
      <c r="PYV15" s="518"/>
      <c r="PYW15" s="518"/>
      <c r="PYX15" s="518"/>
      <c r="PYY15" s="518"/>
      <c r="PYZ15" s="518"/>
      <c r="PZA15" s="518"/>
      <c r="PZB15" s="518"/>
      <c r="PZC15" s="518"/>
      <c r="PZD15" s="518"/>
      <c r="PZE15" s="518"/>
      <c r="PZF15" s="518"/>
      <c r="PZG15" s="518"/>
      <c r="PZH15" s="518"/>
      <c r="PZI15" s="518"/>
      <c r="PZJ15" s="518"/>
      <c r="PZK15" s="518"/>
      <c r="PZL15" s="518"/>
      <c r="PZM15" s="518"/>
      <c r="PZN15" s="518"/>
      <c r="PZO15" s="518"/>
      <c r="PZP15" s="518"/>
      <c r="PZQ15" s="518"/>
      <c r="PZR15" s="518"/>
      <c r="PZS15" s="518"/>
      <c r="PZT15" s="518"/>
      <c r="PZU15" s="518"/>
      <c r="PZV15" s="518"/>
      <c r="PZW15" s="518"/>
      <c r="PZX15" s="518"/>
      <c r="PZY15" s="518"/>
      <c r="PZZ15" s="518"/>
      <c r="QAA15" s="518"/>
      <c r="QAB15" s="518"/>
      <c r="QAC15" s="518"/>
      <c r="QAD15" s="518"/>
      <c r="QAE15" s="518"/>
      <c r="QAF15" s="518"/>
      <c r="QAG15" s="518"/>
      <c r="QAH15" s="518"/>
      <c r="QAI15" s="518"/>
      <c r="QAJ15" s="518"/>
      <c r="QAK15" s="518"/>
      <c r="QAL15" s="518"/>
      <c r="QAM15" s="518"/>
      <c r="QAN15" s="518"/>
      <c r="QAO15" s="518"/>
      <c r="QAP15" s="518"/>
      <c r="QAQ15" s="518"/>
      <c r="QAR15" s="518"/>
      <c r="QAS15" s="518"/>
      <c r="QAT15" s="518"/>
      <c r="QAU15" s="518"/>
      <c r="QAV15" s="518"/>
      <c r="QAW15" s="518"/>
      <c r="QAX15" s="518"/>
      <c r="QAY15" s="518"/>
      <c r="QAZ15" s="518"/>
      <c r="QBA15" s="518"/>
      <c r="QBB15" s="518"/>
      <c r="QBC15" s="518"/>
      <c r="QBD15" s="518"/>
      <c r="QBE15" s="518"/>
      <c r="QBF15" s="518"/>
      <c r="QBG15" s="518"/>
      <c r="QBH15" s="518"/>
      <c r="QBI15" s="518"/>
      <c r="QBJ15" s="518"/>
      <c r="QBK15" s="518"/>
      <c r="QBL15" s="518"/>
      <c r="QBM15" s="518"/>
      <c r="QBN15" s="518"/>
      <c r="QBO15" s="518"/>
      <c r="QBP15" s="518"/>
      <c r="QBQ15" s="518"/>
      <c r="QBR15" s="518"/>
      <c r="QBS15" s="518"/>
      <c r="QBT15" s="518"/>
      <c r="QBU15" s="518"/>
      <c r="QBV15" s="518"/>
      <c r="QBW15" s="518"/>
      <c r="QBX15" s="518"/>
      <c r="QBY15" s="518"/>
      <c r="QBZ15" s="518"/>
      <c r="QCA15" s="518"/>
      <c r="QCB15" s="518"/>
      <c r="QCC15" s="518"/>
      <c r="QCD15" s="518"/>
      <c r="QCE15" s="518"/>
      <c r="QCF15" s="518"/>
      <c r="QCG15" s="518"/>
      <c r="QCH15" s="518"/>
      <c r="QCI15" s="518"/>
      <c r="QCJ15" s="518"/>
      <c r="QCK15" s="518"/>
      <c r="QCL15" s="518"/>
      <c r="QCM15" s="518"/>
      <c r="QCN15" s="518"/>
      <c r="QCO15" s="518"/>
      <c r="QCP15" s="518"/>
      <c r="QCQ15" s="518"/>
      <c r="QCR15" s="518"/>
      <c r="QCS15" s="518"/>
      <c r="QCT15" s="518"/>
      <c r="QCU15" s="518"/>
      <c r="QCV15" s="518"/>
      <c r="QCW15" s="518"/>
      <c r="QCX15" s="518"/>
      <c r="QCY15" s="518"/>
      <c r="QCZ15" s="518"/>
      <c r="QDA15" s="518"/>
      <c r="QDB15" s="518"/>
      <c r="QDC15" s="518"/>
      <c r="QDD15" s="518"/>
      <c r="QDE15" s="518"/>
      <c r="QDF15" s="518"/>
      <c r="QDG15" s="518"/>
      <c r="QDH15" s="518"/>
      <c r="QDI15" s="518"/>
      <c r="QDJ15" s="518"/>
      <c r="QDK15" s="518"/>
      <c r="QDL15" s="518"/>
      <c r="QDM15" s="518"/>
      <c r="QDN15" s="518"/>
      <c r="QDO15" s="518"/>
      <c r="QDP15" s="518"/>
      <c r="QDQ15" s="518"/>
      <c r="QDR15" s="518"/>
      <c r="QDS15" s="518"/>
      <c r="QDT15" s="518"/>
      <c r="QDU15" s="518"/>
      <c r="QDV15" s="518"/>
      <c r="QDW15" s="518"/>
      <c r="QDX15" s="518"/>
      <c r="QDY15" s="518"/>
      <c r="QDZ15" s="518"/>
      <c r="QEA15" s="518"/>
      <c r="QEB15" s="518"/>
      <c r="QEC15" s="518"/>
      <c r="QED15" s="518"/>
      <c r="QEE15" s="518"/>
      <c r="QEF15" s="518"/>
      <c r="QEG15" s="518"/>
      <c r="QEH15" s="518"/>
      <c r="QEI15" s="518"/>
      <c r="QEJ15" s="518"/>
      <c r="QEK15" s="518"/>
      <c r="QEL15" s="518"/>
      <c r="QEM15" s="518"/>
      <c r="QEN15" s="518"/>
      <c r="QEO15" s="518"/>
      <c r="QEP15" s="518"/>
      <c r="QEQ15" s="518"/>
      <c r="QER15" s="518"/>
      <c r="QES15" s="518"/>
      <c r="QET15" s="518"/>
      <c r="QEU15" s="518"/>
      <c r="QEV15" s="518"/>
      <c r="QEW15" s="518"/>
      <c r="QEX15" s="518"/>
      <c r="QEY15" s="518"/>
      <c r="QEZ15" s="518"/>
      <c r="QFA15" s="518"/>
      <c r="QFB15" s="518"/>
      <c r="QFC15" s="518"/>
      <c r="QFD15" s="518"/>
      <c r="QFE15" s="518"/>
      <c r="QFF15" s="518"/>
      <c r="QFG15" s="518"/>
      <c r="QFH15" s="518"/>
      <c r="QFI15" s="518"/>
      <c r="QFJ15" s="518"/>
      <c r="QFK15" s="518"/>
      <c r="QFL15" s="518"/>
      <c r="QFM15" s="518"/>
      <c r="QFN15" s="518"/>
      <c r="QFO15" s="518"/>
      <c r="QFP15" s="518"/>
      <c r="QFQ15" s="518"/>
      <c r="QFR15" s="518"/>
      <c r="QFS15" s="518"/>
      <c r="QFT15" s="518"/>
      <c r="QFU15" s="518"/>
      <c r="QFV15" s="518"/>
      <c r="QFW15" s="518"/>
      <c r="QFX15" s="518"/>
      <c r="QFY15" s="518"/>
      <c r="QFZ15" s="518"/>
      <c r="QGA15" s="518"/>
      <c r="QGB15" s="518"/>
      <c r="QGC15" s="518"/>
      <c r="QGD15" s="518"/>
      <c r="QGE15" s="518"/>
      <c r="QGF15" s="518"/>
      <c r="QGG15" s="518"/>
      <c r="QGH15" s="518"/>
      <c r="QGI15" s="518"/>
      <c r="QGJ15" s="518"/>
      <c r="QGK15" s="518"/>
      <c r="QGL15" s="518"/>
      <c r="QGM15" s="518"/>
      <c r="QGN15" s="518"/>
      <c r="QGO15" s="518"/>
      <c r="QGP15" s="518"/>
      <c r="QGQ15" s="518"/>
      <c r="QGR15" s="518"/>
      <c r="QGS15" s="518"/>
      <c r="QGT15" s="518"/>
      <c r="QGU15" s="518"/>
      <c r="QGV15" s="518"/>
      <c r="QGW15" s="518"/>
      <c r="QGX15" s="518"/>
      <c r="QGY15" s="518"/>
      <c r="QGZ15" s="518"/>
      <c r="QHA15" s="518"/>
      <c r="QHB15" s="518"/>
      <c r="QHC15" s="518"/>
      <c r="QHD15" s="518"/>
      <c r="QHE15" s="518"/>
      <c r="QHF15" s="518"/>
      <c r="QHG15" s="518"/>
      <c r="QHH15" s="518"/>
      <c r="QHI15" s="518"/>
      <c r="QHJ15" s="518"/>
      <c r="QHK15" s="518"/>
      <c r="QHL15" s="518"/>
      <c r="QHM15" s="518"/>
      <c r="QHN15" s="518"/>
      <c r="QHO15" s="518"/>
      <c r="QHP15" s="518"/>
      <c r="QHQ15" s="518"/>
      <c r="QHR15" s="518"/>
      <c r="QHS15" s="518"/>
      <c r="QHT15" s="518"/>
      <c r="QHU15" s="518"/>
      <c r="QHV15" s="518"/>
      <c r="QHW15" s="518"/>
      <c r="QHX15" s="518"/>
      <c r="QHY15" s="518"/>
      <c r="QHZ15" s="518"/>
      <c r="QIA15" s="518"/>
      <c r="QIB15" s="518"/>
      <c r="QIC15" s="518"/>
      <c r="QID15" s="518"/>
      <c r="QIE15" s="518"/>
      <c r="QIF15" s="518"/>
      <c r="QIG15" s="518"/>
      <c r="QIH15" s="518"/>
      <c r="QII15" s="518"/>
      <c r="QIJ15" s="518"/>
      <c r="QIK15" s="518"/>
      <c r="QIL15" s="518"/>
      <c r="QIM15" s="518"/>
      <c r="QIN15" s="518"/>
      <c r="QIO15" s="518"/>
      <c r="QIP15" s="518"/>
      <c r="QIQ15" s="518"/>
      <c r="QIR15" s="518"/>
      <c r="QIS15" s="518"/>
      <c r="QIT15" s="518"/>
      <c r="QIU15" s="518"/>
      <c r="QIV15" s="518"/>
      <c r="QIW15" s="518"/>
      <c r="QIX15" s="518"/>
      <c r="QIY15" s="518"/>
      <c r="QIZ15" s="518"/>
      <c r="QJA15" s="518"/>
      <c r="QJB15" s="518"/>
      <c r="QJC15" s="518"/>
      <c r="QJD15" s="518"/>
      <c r="QJE15" s="518"/>
      <c r="QJF15" s="518"/>
      <c r="QJG15" s="518"/>
      <c r="QJH15" s="518"/>
      <c r="QJI15" s="518"/>
      <c r="QJJ15" s="518"/>
      <c r="QJK15" s="518"/>
      <c r="QJL15" s="518"/>
      <c r="QJM15" s="518"/>
      <c r="QJN15" s="518"/>
      <c r="QJO15" s="518"/>
      <c r="QJP15" s="518"/>
      <c r="QJQ15" s="518"/>
      <c r="QJR15" s="518"/>
      <c r="QJS15" s="518"/>
      <c r="QJT15" s="518"/>
      <c r="QJU15" s="518"/>
      <c r="QJV15" s="518"/>
      <c r="QJW15" s="518"/>
      <c r="QJX15" s="518"/>
      <c r="QJY15" s="518"/>
      <c r="QJZ15" s="518"/>
      <c r="QKA15" s="518"/>
      <c r="QKB15" s="518"/>
      <c r="QKC15" s="518"/>
      <c r="QKD15" s="518"/>
      <c r="QKE15" s="518"/>
      <c r="QKF15" s="518"/>
      <c r="QKG15" s="518"/>
      <c r="QKH15" s="518"/>
      <c r="QKI15" s="518"/>
      <c r="QKJ15" s="518"/>
      <c r="QKK15" s="518"/>
      <c r="QKL15" s="518"/>
      <c r="QKM15" s="518"/>
      <c r="QKN15" s="518"/>
      <c r="QKO15" s="518"/>
      <c r="QKP15" s="518"/>
      <c r="QKQ15" s="518"/>
      <c r="QKR15" s="518"/>
      <c r="QKS15" s="518"/>
      <c r="QKT15" s="518"/>
      <c r="QKU15" s="518"/>
      <c r="QKV15" s="518"/>
      <c r="QKW15" s="518"/>
      <c r="QKX15" s="518"/>
      <c r="QKY15" s="518"/>
      <c r="QKZ15" s="518"/>
      <c r="QLA15" s="518"/>
      <c r="QLB15" s="518"/>
      <c r="QLC15" s="518"/>
      <c r="QLD15" s="518"/>
      <c r="QLE15" s="518"/>
      <c r="QLF15" s="518"/>
      <c r="QLG15" s="518"/>
      <c r="QLH15" s="518"/>
      <c r="QLI15" s="518"/>
      <c r="QLJ15" s="518"/>
      <c r="QLK15" s="518"/>
      <c r="QLL15" s="518"/>
      <c r="QLM15" s="518"/>
      <c r="QLN15" s="518"/>
      <c r="QLO15" s="518"/>
      <c r="QLP15" s="518"/>
      <c r="QLQ15" s="518"/>
      <c r="QLR15" s="518"/>
      <c r="QLS15" s="518"/>
      <c r="QLT15" s="518"/>
      <c r="QLU15" s="518"/>
      <c r="QLV15" s="518"/>
      <c r="QLW15" s="518"/>
      <c r="QLX15" s="518"/>
      <c r="QLY15" s="518"/>
      <c r="QLZ15" s="518"/>
      <c r="QMA15" s="518"/>
      <c r="QMB15" s="518"/>
      <c r="QMC15" s="518"/>
      <c r="QMD15" s="518"/>
      <c r="QME15" s="518"/>
      <c r="QMF15" s="518"/>
      <c r="QMG15" s="518"/>
      <c r="QMH15" s="518"/>
      <c r="QMI15" s="518"/>
      <c r="QMJ15" s="518"/>
      <c r="QMK15" s="518"/>
      <c r="QML15" s="518"/>
      <c r="QMM15" s="518"/>
      <c r="QMN15" s="518"/>
      <c r="QMO15" s="518"/>
      <c r="QMP15" s="518"/>
      <c r="QMQ15" s="518"/>
      <c r="QMR15" s="518"/>
      <c r="QMS15" s="518"/>
      <c r="QMT15" s="518"/>
      <c r="QMU15" s="518"/>
      <c r="QMV15" s="518"/>
      <c r="QMW15" s="518"/>
      <c r="QMX15" s="518"/>
      <c r="QMY15" s="518"/>
      <c r="QMZ15" s="518"/>
      <c r="QNA15" s="518"/>
      <c r="QNB15" s="518"/>
      <c r="QNC15" s="518"/>
      <c r="QND15" s="518"/>
      <c r="QNE15" s="518"/>
      <c r="QNF15" s="518"/>
      <c r="QNG15" s="518"/>
      <c r="QNH15" s="518"/>
      <c r="QNI15" s="518"/>
      <c r="QNJ15" s="518"/>
      <c r="QNK15" s="518"/>
      <c r="QNL15" s="518"/>
      <c r="QNM15" s="518"/>
      <c r="QNN15" s="518"/>
      <c r="QNO15" s="518"/>
      <c r="QNP15" s="518"/>
      <c r="QNQ15" s="518"/>
      <c r="QNR15" s="518"/>
      <c r="QNS15" s="518"/>
      <c r="QNT15" s="518"/>
      <c r="QNU15" s="518"/>
      <c r="QNV15" s="518"/>
      <c r="QNW15" s="518"/>
      <c r="QNX15" s="518"/>
      <c r="QNY15" s="518"/>
      <c r="QNZ15" s="518"/>
      <c r="QOA15" s="518"/>
      <c r="QOB15" s="518"/>
      <c r="QOC15" s="518"/>
      <c r="QOD15" s="518"/>
      <c r="QOE15" s="518"/>
      <c r="QOF15" s="518"/>
      <c r="QOG15" s="518"/>
      <c r="QOH15" s="518"/>
      <c r="QOI15" s="518"/>
      <c r="QOJ15" s="518"/>
      <c r="QOK15" s="518"/>
      <c r="QOL15" s="518"/>
      <c r="QOM15" s="518"/>
      <c r="QON15" s="518"/>
      <c r="QOO15" s="518"/>
      <c r="QOP15" s="518"/>
      <c r="QOQ15" s="518"/>
      <c r="QOR15" s="518"/>
      <c r="QOS15" s="518"/>
      <c r="QOT15" s="518"/>
      <c r="QOU15" s="518"/>
      <c r="QOV15" s="518"/>
      <c r="QOW15" s="518"/>
      <c r="QOX15" s="518"/>
      <c r="QOY15" s="518"/>
      <c r="QOZ15" s="518"/>
      <c r="QPA15" s="518"/>
      <c r="QPB15" s="518"/>
      <c r="QPC15" s="518"/>
      <c r="QPD15" s="518"/>
      <c r="QPE15" s="518"/>
      <c r="QPF15" s="518"/>
      <c r="QPG15" s="518"/>
      <c r="QPH15" s="518"/>
      <c r="QPI15" s="518"/>
      <c r="QPJ15" s="518"/>
      <c r="QPK15" s="518"/>
      <c r="QPL15" s="518"/>
      <c r="QPM15" s="518"/>
      <c r="QPN15" s="518"/>
      <c r="QPO15" s="518"/>
      <c r="QPP15" s="518"/>
      <c r="QPQ15" s="518"/>
      <c r="QPR15" s="518"/>
      <c r="QPS15" s="518"/>
      <c r="QPT15" s="518"/>
      <c r="QPU15" s="518"/>
      <c r="QPV15" s="518"/>
      <c r="QPW15" s="518"/>
      <c r="QPX15" s="518"/>
      <c r="QPY15" s="518"/>
      <c r="QPZ15" s="518"/>
      <c r="QQA15" s="518"/>
      <c r="QQB15" s="518"/>
      <c r="QQC15" s="518"/>
      <c r="QQD15" s="518"/>
      <c r="QQE15" s="518"/>
      <c r="QQF15" s="518"/>
      <c r="QQG15" s="518"/>
      <c r="QQH15" s="518"/>
      <c r="QQI15" s="518"/>
      <c r="QQJ15" s="518"/>
      <c r="QQK15" s="518"/>
      <c r="QQL15" s="518"/>
      <c r="QQM15" s="518"/>
      <c r="QQN15" s="518"/>
      <c r="QQO15" s="518"/>
      <c r="QQP15" s="518"/>
      <c r="QQQ15" s="518"/>
      <c r="QQR15" s="518"/>
      <c r="QQS15" s="518"/>
      <c r="QQT15" s="518"/>
      <c r="QQU15" s="518"/>
      <c r="QQV15" s="518"/>
      <c r="QQW15" s="518"/>
      <c r="QQX15" s="518"/>
      <c r="QQY15" s="518"/>
      <c r="QQZ15" s="518"/>
      <c r="QRA15" s="518"/>
      <c r="QRB15" s="518"/>
      <c r="QRC15" s="518"/>
      <c r="QRD15" s="518"/>
      <c r="QRE15" s="518"/>
      <c r="QRF15" s="518"/>
      <c r="QRG15" s="518"/>
      <c r="QRH15" s="518"/>
      <c r="QRI15" s="518"/>
      <c r="QRJ15" s="518"/>
      <c r="QRK15" s="518"/>
      <c r="QRL15" s="518"/>
      <c r="QRM15" s="518"/>
      <c r="QRN15" s="518"/>
      <c r="QRO15" s="518"/>
      <c r="QRP15" s="518"/>
      <c r="QRQ15" s="518"/>
      <c r="QRR15" s="518"/>
      <c r="QRS15" s="518"/>
      <c r="QRT15" s="518"/>
      <c r="QRU15" s="518"/>
      <c r="QRV15" s="518"/>
      <c r="QRW15" s="518"/>
      <c r="QRX15" s="518"/>
      <c r="QRY15" s="518"/>
      <c r="QRZ15" s="518"/>
      <c r="QSA15" s="518"/>
      <c r="QSB15" s="518"/>
      <c r="QSC15" s="518"/>
      <c r="QSD15" s="518"/>
      <c r="QSE15" s="518"/>
      <c r="QSF15" s="518"/>
      <c r="QSG15" s="518"/>
      <c r="QSH15" s="518"/>
      <c r="QSI15" s="518"/>
      <c r="QSJ15" s="518"/>
      <c r="QSK15" s="518"/>
      <c r="QSL15" s="518"/>
      <c r="QSM15" s="518"/>
      <c r="QSN15" s="518"/>
      <c r="QSO15" s="518"/>
      <c r="QSP15" s="518"/>
      <c r="QSQ15" s="518"/>
      <c r="QSR15" s="518"/>
      <c r="QSS15" s="518"/>
      <c r="QST15" s="518"/>
      <c r="QSU15" s="518"/>
      <c r="QSV15" s="518"/>
      <c r="QSW15" s="518"/>
      <c r="QSX15" s="518"/>
      <c r="QSY15" s="518"/>
      <c r="QSZ15" s="518"/>
      <c r="QTA15" s="518"/>
      <c r="QTB15" s="518"/>
      <c r="QTC15" s="518"/>
      <c r="QTD15" s="518"/>
      <c r="QTE15" s="518"/>
      <c r="QTF15" s="518"/>
      <c r="QTG15" s="518"/>
      <c r="QTH15" s="518"/>
      <c r="QTI15" s="518"/>
      <c r="QTJ15" s="518"/>
      <c r="QTK15" s="518"/>
      <c r="QTL15" s="518"/>
      <c r="QTM15" s="518"/>
      <c r="QTN15" s="518"/>
      <c r="QTO15" s="518"/>
      <c r="QTP15" s="518"/>
      <c r="QTQ15" s="518"/>
      <c r="QTR15" s="518"/>
      <c r="QTS15" s="518"/>
      <c r="QTT15" s="518"/>
      <c r="QTU15" s="518"/>
      <c r="QTV15" s="518"/>
      <c r="QTW15" s="518"/>
      <c r="QTX15" s="518"/>
      <c r="QTY15" s="518"/>
      <c r="QTZ15" s="518"/>
      <c r="QUA15" s="518"/>
      <c r="QUB15" s="518"/>
      <c r="QUC15" s="518"/>
      <c r="QUD15" s="518"/>
      <c r="QUE15" s="518"/>
      <c r="QUF15" s="518"/>
      <c r="QUG15" s="518"/>
      <c r="QUH15" s="518"/>
      <c r="QUI15" s="518"/>
      <c r="QUJ15" s="518"/>
      <c r="QUK15" s="518"/>
      <c r="QUL15" s="518"/>
      <c r="QUM15" s="518"/>
      <c r="QUN15" s="518"/>
      <c r="QUO15" s="518"/>
      <c r="QUP15" s="518"/>
      <c r="QUQ15" s="518"/>
      <c r="QUR15" s="518"/>
      <c r="QUS15" s="518"/>
      <c r="QUT15" s="518"/>
      <c r="QUU15" s="518"/>
      <c r="QUV15" s="518"/>
      <c r="QUW15" s="518"/>
      <c r="QUX15" s="518"/>
      <c r="QUY15" s="518"/>
      <c r="QUZ15" s="518"/>
      <c r="QVA15" s="518"/>
      <c r="QVB15" s="518"/>
      <c r="QVC15" s="518"/>
      <c r="QVD15" s="518"/>
      <c r="QVE15" s="518"/>
      <c r="QVF15" s="518"/>
      <c r="QVG15" s="518"/>
      <c r="QVH15" s="518"/>
      <c r="QVI15" s="518"/>
      <c r="QVJ15" s="518"/>
      <c r="QVK15" s="518"/>
      <c r="QVL15" s="518"/>
      <c r="QVM15" s="518"/>
      <c r="QVN15" s="518"/>
      <c r="QVO15" s="518"/>
      <c r="QVP15" s="518"/>
      <c r="QVQ15" s="518"/>
      <c r="QVR15" s="518"/>
      <c r="QVS15" s="518"/>
      <c r="QVT15" s="518"/>
      <c r="QVU15" s="518"/>
      <c r="QVV15" s="518"/>
      <c r="QVW15" s="518"/>
      <c r="QVX15" s="518"/>
      <c r="QVY15" s="518"/>
      <c r="QVZ15" s="518"/>
      <c r="QWA15" s="518"/>
      <c r="QWB15" s="518"/>
      <c r="QWC15" s="518"/>
      <c r="QWD15" s="518"/>
      <c r="QWE15" s="518"/>
      <c r="QWF15" s="518"/>
      <c r="QWG15" s="518"/>
      <c r="QWH15" s="518"/>
      <c r="QWI15" s="518"/>
      <c r="QWJ15" s="518"/>
      <c r="QWK15" s="518"/>
      <c r="QWL15" s="518"/>
      <c r="QWM15" s="518"/>
      <c r="QWN15" s="518"/>
      <c r="QWO15" s="518"/>
      <c r="QWP15" s="518"/>
      <c r="QWQ15" s="518"/>
      <c r="QWR15" s="518"/>
      <c r="QWS15" s="518"/>
      <c r="QWT15" s="518"/>
      <c r="QWU15" s="518"/>
      <c r="QWV15" s="518"/>
      <c r="QWW15" s="518"/>
      <c r="QWX15" s="518"/>
      <c r="QWY15" s="518"/>
      <c r="QWZ15" s="518"/>
      <c r="QXA15" s="518"/>
      <c r="QXB15" s="518"/>
      <c r="QXC15" s="518"/>
      <c r="QXD15" s="518"/>
      <c r="QXE15" s="518"/>
      <c r="QXF15" s="518"/>
      <c r="QXG15" s="518"/>
      <c r="QXH15" s="518"/>
      <c r="QXI15" s="518"/>
      <c r="QXJ15" s="518"/>
      <c r="QXK15" s="518"/>
      <c r="QXL15" s="518"/>
      <c r="QXM15" s="518"/>
      <c r="QXN15" s="518"/>
      <c r="QXO15" s="518"/>
      <c r="QXP15" s="518"/>
      <c r="QXQ15" s="518"/>
      <c r="QXR15" s="518"/>
      <c r="QXS15" s="518"/>
      <c r="QXT15" s="518"/>
      <c r="QXU15" s="518"/>
      <c r="QXV15" s="518"/>
      <c r="QXW15" s="518"/>
      <c r="QXX15" s="518"/>
      <c r="QXY15" s="518"/>
      <c r="QXZ15" s="518"/>
      <c r="QYA15" s="518"/>
      <c r="QYB15" s="518"/>
      <c r="QYC15" s="518"/>
      <c r="QYD15" s="518"/>
      <c r="QYE15" s="518"/>
      <c r="QYF15" s="518"/>
      <c r="QYG15" s="518"/>
      <c r="QYH15" s="518"/>
      <c r="QYI15" s="518"/>
      <c r="QYJ15" s="518"/>
      <c r="QYK15" s="518"/>
      <c r="QYL15" s="518"/>
      <c r="QYM15" s="518"/>
      <c r="QYN15" s="518"/>
      <c r="QYO15" s="518"/>
      <c r="QYP15" s="518"/>
      <c r="QYQ15" s="518"/>
      <c r="QYR15" s="518"/>
      <c r="QYS15" s="518"/>
      <c r="QYT15" s="518"/>
      <c r="QYU15" s="518"/>
      <c r="QYV15" s="518"/>
      <c r="QYW15" s="518"/>
      <c r="QYX15" s="518"/>
      <c r="QYY15" s="518"/>
      <c r="QYZ15" s="518"/>
      <c r="QZA15" s="518"/>
      <c r="QZB15" s="518"/>
      <c r="QZC15" s="518"/>
      <c r="QZD15" s="518"/>
      <c r="QZE15" s="518"/>
      <c r="QZF15" s="518"/>
      <c r="QZG15" s="518"/>
      <c r="QZH15" s="518"/>
      <c r="QZI15" s="518"/>
      <c r="QZJ15" s="518"/>
      <c r="QZK15" s="518"/>
      <c r="QZL15" s="518"/>
      <c r="QZM15" s="518"/>
      <c r="QZN15" s="518"/>
      <c r="QZO15" s="518"/>
      <c r="QZP15" s="518"/>
      <c r="QZQ15" s="518"/>
      <c r="QZR15" s="518"/>
      <c r="QZS15" s="518"/>
      <c r="QZT15" s="518"/>
      <c r="QZU15" s="518"/>
      <c r="QZV15" s="518"/>
      <c r="QZW15" s="518"/>
      <c r="QZX15" s="518"/>
      <c r="QZY15" s="518"/>
      <c r="QZZ15" s="518"/>
      <c r="RAA15" s="518"/>
      <c r="RAB15" s="518"/>
      <c r="RAC15" s="518"/>
      <c r="RAD15" s="518"/>
      <c r="RAE15" s="518"/>
      <c r="RAF15" s="518"/>
      <c r="RAG15" s="518"/>
      <c r="RAH15" s="518"/>
      <c r="RAI15" s="518"/>
      <c r="RAJ15" s="518"/>
      <c r="RAK15" s="518"/>
      <c r="RAL15" s="518"/>
      <c r="RAM15" s="518"/>
      <c r="RAN15" s="518"/>
      <c r="RAO15" s="518"/>
      <c r="RAP15" s="518"/>
      <c r="RAQ15" s="518"/>
      <c r="RAR15" s="518"/>
      <c r="RAS15" s="518"/>
      <c r="RAT15" s="518"/>
      <c r="RAU15" s="518"/>
      <c r="RAV15" s="518"/>
      <c r="RAW15" s="518"/>
      <c r="RAX15" s="518"/>
      <c r="RAY15" s="518"/>
      <c r="RAZ15" s="518"/>
      <c r="RBA15" s="518"/>
      <c r="RBB15" s="518"/>
      <c r="RBC15" s="518"/>
      <c r="RBD15" s="518"/>
      <c r="RBE15" s="518"/>
      <c r="RBF15" s="518"/>
      <c r="RBG15" s="518"/>
      <c r="RBH15" s="518"/>
      <c r="RBI15" s="518"/>
      <c r="RBJ15" s="518"/>
      <c r="RBK15" s="518"/>
      <c r="RBL15" s="518"/>
      <c r="RBM15" s="518"/>
      <c r="RBN15" s="518"/>
      <c r="RBO15" s="518"/>
      <c r="RBP15" s="518"/>
      <c r="RBQ15" s="518"/>
      <c r="RBR15" s="518"/>
      <c r="RBS15" s="518"/>
      <c r="RBT15" s="518"/>
      <c r="RBU15" s="518"/>
      <c r="RBV15" s="518"/>
      <c r="RBW15" s="518"/>
      <c r="RBX15" s="518"/>
      <c r="RBY15" s="518"/>
      <c r="RBZ15" s="518"/>
      <c r="RCA15" s="518"/>
      <c r="RCB15" s="518"/>
      <c r="RCC15" s="518"/>
      <c r="RCD15" s="518"/>
      <c r="RCE15" s="518"/>
      <c r="RCF15" s="518"/>
      <c r="RCG15" s="518"/>
      <c r="RCH15" s="518"/>
      <c r="RCI15" s="518"/>
      <c r="RCJ15" s="518"/>
      <c r="RCK15" s="518"/>
      <c r="RCL15" s="518"/>
      <c r="RCM15" s="518"/>
      <c r="RCN15" s="518"/>
      <c r="RCO15" s="518"/>
      <c r="RCP15" s="518"/>
      <c r="RCQ15" s="518"/>
      <c r="RCR15" s="518"/>
      <c r="RCS15" s="518"/>
      <c r="RCT15" s="518"/>
      <c r="RCU15" s="518"/>
      <c r="RCV15" s="518"/>
      <c r="RCW15" s="518"/>
      <c r="RCX15" s="518"/>
      <c r="RCY15" s="518"/>
      <c r="RCZ15" s="518"/>
      <c r="RDA15" s="518"/>
      <c r="RDB15" s="518"/>
      <c r="RDC15" s="518"/>
      <c r="RDD15" s="518"/>
      <c r="RDE15" s="518"/>
      <c r="RDF15" s="518"/>
      <c r="RDG15" s="518"/>
      <c r="RDH15" s="518"/>
      <c r="RDI15" s="518"/>
      <c r="RDJ15" s="518"/>
      <c r="RDK15" s="518"/>
      <c r="RDL15" s="518"/>
      <c r="RDM15" s="518"/>
      <c r="RDN15" s="518"/>
      <c r="RDO15" s="518"/>
      <c r="RDP15" s="518"/>
      <c r="RDQ15" s="518"/>
      <c r="RDR15" s="518"/>
      <c r="RDS15" s="518"/>
      <c r="RDT15" s="518"/>
      <c r="RDU15" s="518"/>
      <c r="RDV15" s="518"/>
      <c r="RDW15" s="518"/>
      <c r="RDX15" s="518"/>
      <c r="RDY15" s="518"/>
      <c r="RDZ15" s="518"/>
      <c r="REA15" s="518"/>
      <c r="REB15" s="518"/>
      <c r="REC15" s="518"/>
      <c r="RED15" s="518"/>
      <c r="REE15" s="518"/>
      <c r="REF15" s="518"/>
      <c r="REG15" s="518"/>
      <c r="REH15" s="518"/>
      <c r="REI15" s="518"/>
      <c r="REJ15" s="518"/>
      <c r="REK15" s="518"/>
      <c r="REL15" s="518"/>
      <c r="REM15" s="518"/>
      <c r="REN15" s="518"/>
      <c r="REO15" s="518"/>
      <c r="REP15" s="518"/>
      <c r="REQ15" s="518"/>
      <c r="RER15" s="518"/>
      <c r="RES15" s="518"/>
      <c r="RET15" s="518"/>
      <c r="REU15" s="518"/>
      <c r="REV15" s="518"/>
      <c r="REW15" s="518"/>
      <c r="REX15" s="518"/>
      <c r="REY15" s="518"/>
      <c r="REZ15" s="518"/>
      <c r="RFA15" s="518"/>
      <c r="RFB15" s="518"/>
      <c r="RFC15" s="518"/>
      <c r="RFD15" s="518"/>
      <c r="RFE15" s="518"/>
      <c r="RFF15" s="518"/>
      <c r="RFG15" s="518"/>
      <c r="RFH15" s="518"/>
      <c r="RFI15" s="518"/>
      <c r="RFJ15" s="518"/>
      <c r="RFK15" s="518"/>
      <c r="RFL15" s="518"/>
      <c r="RFM15" s="518"/>
      <c r="RFN15" s="518"/>
      <c r="RFO15" s="518"/>
      <c r="RFP15" s="518"/>
      <c r="RFQ15" s="518"/>
      <c r="RFR15" s="518"/>
      <c r="RFS15" s="518"/>
      <c r="RFT15" s="518"/>
      <c r="RFU15" s="518"/>
      <c r="RFV15" s="518"/>
      <c r="RFW15" s="518"/>
      <c r="RFX15" s="518"/>
      <c r="RFY15" s="518"/>
      <c r="RFZ15" s="518"/>
      <c r="RGA15" s="518"/>
      <c r="RGB15" s="518"/>
      <c r="RGC15" s="518"/>
      <c r="RGD15" s="518"/>
      <c r="RGE15" s="518"/>
      <c r="RGF15" s="518"/>
      <c r="RGG15" s="518"/>
      <c r="RGH15" s="518"/>
      <c r="RGI15" s="518"/>
      <c r="RGJ15" s="518"/>
      <c r="RGK15" s="518"/>
      <c r="RGL15" s="518"/>
      <c r="RGM15" s="518"/>
      <c r="RGN15" s="518"/>
      <c r="RGO15" s="518"/>
      <c r="RGP15" s="518"/>
      <c r="RGQ15" s="518"/>
      <c r="RGR15" s="518"/>
      <c r="RGS15" s="518"/>
      <c r="RGT15" s="518"/>
      <c r="RGU15" s="518"/>
      <c r="RGV15" s="518"/>
      <c r="RGW15" s="518"/>
      <c r="RGX15" s="518"/>
      <c r="RGY15" s="518"/>
      <c r="RGZ15" s="518"/>
      <c r="RHA15" s="518"/>
      <c r="RHB15" s="518"/>
      <c r="RHC15" s="518"/>
      <c r="RHD15" s="518"/>
      <c r="RHE15" s="518"/>
      <c r="RHF15" s="518"/>
      <c r="RHG15" s="518"/>
      <c r="RHH15" s="518"/>
      <c r="RHI15" s="518"/>
      <c r="RHJ15" s="518"/>
      <c r="RHK15" s="518"/>
      <c r="RHL15" s="518"/>
      <c r="RHM15" s="518"/>
      <c r="RHN15" s="518"/>
      <c r="RHO15" s="518"/>
      <c r="RHP15" s="518"/>
      <c r="RHQ15" s="518"/>
      <c r="RHR15" s="518"/>
      <c r="RHS15" s="518"/>
      <c r="RHT15" s="518"/>
      <c r="RHU15" s="518"/>
      <c r="RHV15" s="518"/>
      <c r="RHW15" s="518"/>
      <c r="RHX15" s="518"/>
      <c r="RHY15" s="518"/>
      <c r="RHZ15" s="518"/>
      <c r="RIA15" s="518"/>
      <c r="RIB15" s="518"/>
      <c r="RIC15" s="518"/>
      <c r="RID15" s="518"/>
      <c r="RIE15" s="518"/>
      <c r="RIF15" s="518"/>
      <c r="RIG15" s="518"/>
      <c r="RIH15" s="518"/>
      <c r="RII15" s="518"/>
      <c r="RIJ15" s="518"/>
      <c r="RIK15" s="518"/>
      <c r="RIL15" s="518"/>
      <c r="RIM15" s="518"/>
      <c r="RIN15" s="518"/>
      <c r="RIO15" s="518"/>
      <c r="RIP15" s="518"/>
      <c r="RIQ15" s="518"/>
      <c r="RIR15" s="518"/>
      <c r="RIS15" s="518"/>
      <c r="RIT15" s="518"/>
      <c r="RIU15" s="518"/>
      <c r="RIV15" s="518"/>
      <c r="RIW15" s="518"/>
      <c r="RIX15" s="518"/>
      <c r="RIY15" s="518"/>
      <c r="RIZ15" s="518"/>
      <c r="RJA15" s="518"/>
      <c r="RJB15" s="518"/>
      <c r="RJC15" s="518"/>
      <c r="RJD15" s="518"/>
      <c r="RJE15" s="518"/>
      <c r="RJF15" s="518"/>
      <c r="RJG15" s="518"/>
      <c r="RJH15" s="518"/>
      <c r="RJI15" s="518"/>
      <c r="RJJ15" s="518"/>
      <c r="RJK15" s="518"/>
      <c r="RJL15" s="518"/>
      <c r="RJM15" s="518"/>
      <c r="RJN15" s="518"/>
      <c r="RJO15" s="518"/>
      <c r="RJP15" s="518"/>
      <c r="RJQ15" s="518"/>
      <c r="RJR15" s="518"/>
      <c r="RJS15" s="518"/>
      <c r="RJT15" s="518"/>
      <c r="RJU15" s="518"/>
      <c r="RJV15" s="518"/>
      <c r="RJW15" s="518"/>
      <c r="RJX15" s="518"/>
      <c r="RJY15" s="518"/>
      <c r="RJZ15" s="518"/>
      <c r="RKA15" s="518"/>
      <c r="RKB15" s="518"/>
      <c r="RKC15" s="518"/>
      <c r="RKD15" s="518"/>
      <c r="RKE15" s="518"/>
      <c r="RKF15" s="518"/>
      <c r="RKG15" s="518"/>
      <c r="RKH15" s="518"/>
      <c r="RKI15" s="518"/>
      <c r="RKJ15" s="518"/>
      <c r="RKK15" s="518"/>
      <c r="RKL15" s="518"/>
      <c r="RKM15" s="518"/>
      <c r="RKN15" s="518"/>
      <c r="RKO15" s="518"/>
      <c r="RKP15" s="518"/>
      <c r="RKQ15" s="518"/>
      <c r="RKR15" s="518"/>
      <c r="RKS15" s="518"/>
      <c r="RKT15" s="518"/>
      <c r="RKU15" s="518"/>
      <c r="RKV15" s="518"/>
      <c r="RKW15" s="518"/>
      <c r="RKX15" s="518"/>
      <c r="RKY15" s="518"/>
      <c r="RKZ15" s="518"/>
      <c r="RLA15" s="518"/>
      <c r="RLB15" s="518"/>
      <c r="RLC15" s="518"/>
      <c r="RLD15" s="518"/>
      <c r="RLE15" s="518"/>
      <c r="RLF15" s="518"/>
      <c r="RLG15" s="518"/>
      <c r="RLH15" s="518"/>
      <c r="RLI15" s="518"/>
      <c r="RLJ15" s="518"/>
      <c r="RLK15" s="518"/>
      <c r="RLL15" s="518"/>
      <c r="RLM15" s="518"/>
      <c r="RLN15" s="518"/>
      <c r="RLO15" s="518"/>
      <c r="RLP15" s="518"/>
      <c r="RLQ15" s="518"/>
      <c r="RLR15" s="518"/>
      <c r="RLS15" s="518"/>
      <c r="RLT15" s="518"/>
      <c r="RLU15" s="518"/>
      <c r="RLV15" s="518"/>
      <c r="RLW15" s="518"/>
      <c r="RLX15" s="518"/>
      <c r="RLY15" s="518"/>
      <c r="RLZ15" s="518"/>
      <c r="RMA15" s="518"/>
      <c r="RMB15" s="518"/>
      <c r="RMC15" s="518"/>
      <c r="RMD15" s="518"/>
      <c r="RME15" s="518"/>
      <c r="RMF15" s="518"/>
      <c r="RMG15" s="518"/>
      <c r="RMH15" s="518"/>
      <c r="RMI15" s="518"/>
      <c r="RMJ15" s="518"/>
      <c r="RMK15" s="518"/>
      <c r="RML15" s="518"/>
      <c r="RMM15" s="518"/>
      <c r="RMN15" s="518"/>
      <c r="RMO15" s="518"/>
      <c r="RMP15" s="518"/>
      <c r="RMQ15" s="518"/>
      <c r="RMR15" s="518"/>
      <c r="RMS15" s="518"/>
      <c r="RMT15" s="518"/>
      <c r="RMU15" s="518"/>
      <c r="RMV15" s="518"/>
      <c r="RMW15" s="518"/>
      <c r="RMX15" s="518"/>
      <c r="RMY15" s="518"/>
      <c r="RMZ15" s="518"/>
      <c r="RNA15" s="518"/>
      <c r="RNB15" s="518"/>
      <c r="RNC15" s="518"/>
      <c r="RND15" s="518"/>
      <c r="RNE15" s="518"/>
      <c r="RNF15" s="518"/>
      <c r="RNG15" s="518"/>
      <c r="RNH15" s="518"/>
      <c r="RNI15" s="518"/>
      <c r="RNJ15" s="518"/>
      <c r="RNK15" s="518"/>
      <c r="RNL15" s="518"/>
      <c r="RNM15" s="518"/>
      <c r="RNN15" s="518"/>
      <c r="RNO15" s="518"/>
      <c r="RNP15" s="518"/>
      <c r="RNQ15" s="518"/>
      <c r="RNR15" s="518"/>
      <c r="RNS15" s="518"/>
      <c r="RNT15" s="518"/>
      <c r="RNU15" s="518"/>
      <c r="RNV15" s="518"/>
      <c r="RNW15" s="518"/>
      <c r="RNX15" s="518"/>
      <c r="RNY15" s="518"/>
      <c r="RNZ15" s="518"/>
      <c r="ROA15" s="518"/>
      <c r="ROB15" s="518"/>
      <c r="ROC15" s="518"/>
      <c r="ROD15" s="518"/>
      <c r="ROE15" s="518"/>
      <c r="ROF15" s="518"/>
      <c r="ROG15" s="518"/>
      <c r="ROH15" s="518"/>
      <c r="ROI15" s="518"/>
      <c r="ROJ15" s="518"/>
      <c r="ROK15" s="518"/>
      <c r="ROL15" s="518"/>
      <c r="ROM15" s="518"/>
      <c r="RON15" s="518"/>
      <c r="ROO15" s="518"/>
      <c r="ROP15" s="518"/>
      <c r="ROQ15" s="518"/>
      <c r="ROR15" s="518"/>
      <c r="ROS15" s="518"/>
      <c r="ROT15" s="518"/>
      <c r="ROU15" s="518"/>
      <c r="ROV15" s="518"/>
      <c r="ROW15" s="518"/>
      <c r="ROX15" s="518"/>
      <c r="ROY15" s="518"/>
      <c r="ROZ15" s="518"/>
      <c r="RPA15" s="518"/>
      <c r="RPB15" s="518"/>
      <c r="RPC15" s="518"/>
      <c r="RPD15" s="518"/>
      <c r="RPE15" s="518"/>
      <c r="RPF15" s="518"/>
      <c r="RPG15" s="518"/>
      <c r="RPH15" s="518"/>
      <c r="RPI15" s="518"/>
      <c r="RPJ15" s="518"/>
      <c r="RPK15" s="518"/>
      <c r="RPL15" s="518"/>
      <c r="RPM15" s="518"/>
      <c r="RPN15" s="518"/>
      <c r="RPO15" s="518"/>
      <c r="RPP15" s="518"/>
      <c r="RPQ15" s="518"/>
      <c r="RPR15" s="518"/>
      <c r="RPS15" s="518"/>
      <c r="RPT15" s="518"/>
      <c r="RPU15" s="518"/>
      <c r="RPV15" s="518"/>
      <c r="RPW15" s="518"/>
      <c r="RPX15" s="518"/>
      <c r="RPY15" s="518"/>
      <c r="RPZ15" s="518"/>
      <c r="RQA15" s="518"/>
      <c r="RQB15" s="518"/>
      <c r="RQC15" s="518"/>
      <c r="RQD15" s="518"/>
      <c r="RQE15" s="518"/>
      <c r="RQF15" s="518"/>
      <c r="RQG15" s="518"/>
      <c r="RQH15" s="518"/>
      <c r="RQI15" s="518"/>
      <c r="RQJ15" s="518"/>
      <c r="RQK15" s="518"/>
      <c r="RQL15" s="518"/>
      <c r="RQM15" s="518"/>
      <c r="RQN15" s="518"/>
      <c r="RQO15" s="518"/>
      <c r="RQP15" s="518"/>
      <c r="RQQ15" s="518"/>
      <c r="RQR15" s="518"/>
      <c r="RQS15" s="518"/>
      <c r="RQT15" s="518"/>
      <c r="RQU15" s="518"/>
      <c r="RQV15" s="518"/>
      <c r="RQW15" s="518"/>
      <c r="RQX15" s="518"/>
      <c r="RQY15" s="518"/>
      <c r="RQZ15" s="518"/>
      <c r="RRA15" s="518"/>
      <c r="RRB15" s="518"/>
      <c r="RRC15" s="518"/>
      <c r="RRD15" s="518"/>
      <c r="RRE15" s="518"/>
      <c r="RRF15" s="518"/>
      <c r="RRG15" s="518"/>
      <c r="RRH15" s="518"/>
      <c r="RRI15" s="518"/>
      <c r="RRJ15" s="518"/>
      <c r="RRK15" s="518"/>
      <c r="RRL15" s="518"/>
      <c r="RRM15" s="518"/>
      <c r="RRN15" s="518"/>
      <c r="RRO15" s="518"/>
      <c r="RRP15" s="518"/>
      <c r="RRQ15" s="518"/>
      <c r="RRR15" s="518"/>
      <c r="RRS15" s="518"/>
      <c r="RRT15" s="518"/>
      <c r="RRU15" s="518"/>
      <c r="RRV15" s="518"/>
      <c r="RRW15" s="518"/>
      <c r="RRX15" s="518"/>
      <c r="RRY15" s="518"/>
      <c r="RRZ15" s="518"/>
      <c r="RSA15" s="518"/>
      <c r="RSB15" s="518"/>
      <c r="RSC15" s="518"/>
      <c r="RSD15" s="518"/>
      <c r="RSE15" s="518"/>
      <c r="RSF15" s="518"/>
      <c r="RSG15" s="518"/>
      <c r="RSH15" s="518"/>
      <c r="RSI15" s="518"/>
      <c r="RSJ15" s="518"/>
      <c r="RSK15" s="518"/>
      <c r="RSL15" s="518"/>
      <c r="RSM15" s="518"/>
      <c r="RSN15" s="518"/>
      <c r="RSO15" s="518"/>
      <c r="RSP15" s="518"/>
      <c r="RSQ15" s="518"/>
      <c r="RSR15" s="518"/>
      <c r="RSS15" s="518"/>
      <c r="RST15" s="518"/>
      <c r="RSU15" s="518"/>
      <c r="RSV15" s="518"/>
      <c r="RSW15" s="518"/>
      <c r="RSX15" s="518"/>
      <c r="RSY15" s="518"/>
      <c r="RSZ15" s="518"/>
      <c r="RTA15" s="518"/>
      <c r="RTB15" s="518"/>
      <c r="RTC15" s="518"/>
      <c r="RTD15" s="518"/>
      <c r="RTE15" s="518"/>
      <c r="RTF15" s="518"/>
      <c r="RTG15" s="518"/>
      <c r="RTH15" s="518"/>
      <c r="RTI15" s="518"/>
      <c r="RTJ15" s="518"/>
      <c r="RTK15" s="518"/>
      <c r="RTL15" s="518"/>
      <c r="RTM15" s="518"/>
      <c r="RTN15" s="518"/>
      <c r="RTO15" s="518"/>
      <c r="RTP15" s="518"/>
      <c r="RTQ15" s="518"/>
      <c r="RTR15" s="518"/>
      <c r="RTS15" s="518"/>
      <c r="RTT15" s="518"/>
      <c r="RTU15" s="518"/>
      <c r="RTV15" s="518"/>
      <c r="RTW15" s="518"/>
      <c r="RTX15" s="518"/>
      <c r="RTY15" s="518"/>
      <c r="RTZ15" s="518"/>
      <c r="RUA15" s="518"/>
      <c r="RUB15" s="518"/>
      <c r="RUC15" s="518"/>
      <c r="RUD15" s="518"/>
      <c r="RUE15" s="518"/>
      <c r="RUF15" s="518"/>
      <c r="RUG15" s="518"/>
      <c r="RUH15" s="518"/>
      <c r="RUI15" s="518"/>
      <c r="RUJ15" s="518"/>
      <c r="RUK15" s="518"/>
      <c r="RUL15" s="518"/>
      <c r="RUM15" s="518"/>
      <c r="RUN15" s="518"/>
      <c r="RUO15" s="518"/>
      <c r="RUP15" s="518"/>
      <c r="RUQ15" s="518"/>
      <c r="RUR15" s="518"/>
      <c r="RUS15" s="518"/>
      <c r="RUT15" s="518"/>
      <c r="RUU15" s="518"/>
      <c r="RUV15" s="518"/>
      <c r="RUW15" s="518"/>
      <c r="RUX15" s="518"/>
      <c r="RUY15" s="518"/>
      <c r="RUZ15" s="518"/>
      <c r="RVA15" s="518"/>
      <c r="RVB15" s="518"/>
      <c r="RVC15" s="518"/>
      <c r="RVD15" s="518"/>
      <c r="RVE15" s="518"/>
      <c r="RVF15" s="518"/>
      <c r="RVG15" s="518"/>
      <c r="RVH15" s="518"/>
      <c r="RVI15" s="518"/>
      <c r="RVJ15" s="518"/>
      <c r="RVK15" s="518"/>
      <c r="RVL15" s="518"/>
      <c r="RVM15" s="518"/>
      <c r="RVN15" s="518"/>
      <c r="RVO15" s="518"/>
      <c r="RVP15" s="518"/>
      <c r="RVQ15" s="518"/>
      <c r="RVR15" s="518"/>
      <c r="RVS15" s="518"/>
      <c r="RVT15" s="518"/>
      <c r="RVU15" s="518"/>
      <c r="RVV15" s="518"/>
      <c r="RVW15" s="518"/>
      <c r="RVX15" s="518"/>
      <c r="RVY15" s="518"/>
      <c r="RVZ15" s="518"/>
      <c r="RWA15" s="518"/>
      <c r="RWB15" s="518"/>
      <c r="RWC15" s="518"/>
      <c r="RWD15" s="518"/>
      <c r="RWE15" s="518"/>
      <c r="RWF15" s="518"/>
      <c r="RWG15" s="518"/>
      <c r="RWH15" s="518"/>
      <c r="RWI15" s="518"/>
      <c r="RWJ15" s="518"/>
      <c r="RWK15" s="518"/>
      <c r="RWL15" s="518"/>
      <c r="RWM15" s="518"/>
      <c r="RWN15" s="518"/>
      <c r="RWO15" s="518"/>
      <c r="RWP15" s="518"/>
      <c r="RWQ15" s="518"/>
      <c r="RWR15" s="518"/>
      <c r="RWS15" s="518"/>
      <c r="RWT15" s="518"/>
      <c r="RWU15" s="518"/>
      <c r="RWV15" s="518"/>
      <c r="RWW15" s="518"/>
      <c r="RWX15" s="518"/>
      <c r="RWY15" s="518"/>
      <c r="RWZ15" s="518"/>
      <c r="RXA15" s="518"/>
      <c r="RXB15" s="518"/>
      <c r="RXC15" s="518"/>
      <c r="RXD15" s="518"/>
      <c r="RXE15" s="518"/>
      <c r="RXF15" s="518"/>
      <c r="RXG15" s="518"/>
      <c r="RXH15" s="518"/>
      <c r="RXI15" s="518"/>
      <c r="RXJ15" s="518"/>
      <c r="RXK15" s="518"/>
      <c r="RXL15" s="518"/>
      <c r="RXM15" s="518"/>
      <c r="RXN15" s="518"/>
      <c r="RXO15" s="518"/>
      <c r="RXP15" s="518"/>
      <c r="RXQ15" s="518"/>
      <c r="RXR15" s="518"/>
      <c r="RXS15" s="518"/>
      <c r="RXT15" s="518"/>
      <c r="RXU15" s="518"/>
      <c r="RXV15" s="518"/>
      <c r="RXW15" s="518"/>
      <c r="RXX15" s="518"/>
      <c r="RXY15" s="518"/>
      <c r="RXZ15" s="518"/>
      <c r="RYA15" s="518"/>
      <c r="RYB15" s="518"/>
      <c r="RYC15" s="518"/>
      <c r="RYD15" s="518"/>
      <c r="RYE15" s="518"/>
      <c r="RYF15" s="518"/>
      <c r="RYG15" s="518"/>
      <c r="RYH15" s="518"/>
      <c r="RYI15" s="518"/>
      <c r="RYJ15" s="518"/>
      <c r="RYK15" s="518"/>
      <c r="RYL15" s="518"/>
      <c r="RYM15" s="518"/>
      <c r="RYN15" s="518"/>
      <c r="RYO15" s="518"/>
      <c r="RYP15" s="518"/>
      <c r="RYQ15" s="518"/>
      <c r="RYR15" s="518"/>
      <c r="RYS15" s="518"/>
      <c r="RYT15" s="518"/>
      <c r="RYU15" s="518"/>
      <c r="RYV15" s="518"/>
      <c r="RYW15" s="518"/>
      <c r="RYX15" s="518"/>
      <c r="RYY15" s="518"/>
      <c r="RYZ15" s="518"/>
      <c r="RZA15" s="518"/>
      <c r="RZB15" s="518"/>
      <c r="RZC15" s="518"/>
      <c r="RZD15" s="518"/>
      <c r="RZE15" s="518"/>
      <c r="RZF15" s="518"/>
      <c r="RZG15" s="518"/>
      <c r="RZH15" s="518"/>
      <c r="RZI15" s="518"/>
      <c r="RZJ15" s="518"/>
      <c r="RZK15" s="518"/>
      <c r="RZL15" s="518"/>
      <c r="RZM15" s="518"/>
      <c r="RZN15" s="518"/>
      <c r="RZO15" s="518"/>
      <c r="RZP15" s="518"/>
      <c r="RZQ15" s="518"/>
      <c r="RZR15" s="518"/>
      <c r="RZS15" s="518"/>
      <c r="RZT15" s="518"/>
      <c r="RZU15" s="518"/>
      <c r="RZV15" s="518"/>
      <c r="RZW15" s="518"/>
      <c r="RZX15" s="518"/>
      <c r="RZY15" s="518"/>
      <c r="RZZ15" s="518"/>
      <c r="SAA15" s="518"/>
      <c r="SAB15" s="518"/>
      <c r="SAC15" s="518"/>
      <c r="SAD15" s="518"/>
      <c r="SAE15" s="518"/>
      <c r="SAF15" s="518"/>
      <c r="SAG15" s="518"/>
      <c r="SAH15" s="518"/>
      <c r="SAI15" s="518"/>
      <c r="SAJ15" s="518"/>
      <c r="SAK15" s="518"/>
      <c r="SAL15" s="518"/>
      <c r="SAM15" s="518"/>
      <c r="SAN15" s="518"/>
      <c r="SAO15" s="518"/>
      <c r="SAP15" s="518"/>
      <c r="SAQ15" s="518"/>
      <c r="SAR15" s="518"/>
      <c r="SAS15" s="518"/>
      <c r="SAT15" s="518"/>
      <c r="SAU15" s="518"/>
      <c r="SAV15" s="518"/>
      <c r="SAW15" s="518"/>
      <c r="SAX15" s="518"/>
      <c r="SAY15" s="518"/>
      <c r="SAZ15" s="518"/>
      <c r="SBA15" s="518"/>
      <c r="SBB15" s="518"/>
      <c r="SBC15" s="518"/>
      <c r="SBD15" s="518"/>
      <c r="SBE15" s="518"/>
      <c r="SBF15" s="518"/>
      <c r="SBG15" s="518"/>
      <c r="SBH15" s="518"/>
      <c r="SBI15" s="518"/>
      <c r="SBJ15" s="518"/>
      <c r="SBK15" s="518"/>
      <c r="SBL15" s="518"/>
      <c r="SBM15" s="518"/>
      <c r="SBN15" s="518"/>
      <c r="SBO15" s="518"/>
      <c r="SBP15" s="518"/>
      <c r="SBQ15" s="518"/>
      <c r="SBR15" s="518"/>
      <c r="SBS15" s="518"/>
      <c r="SBT15" s="518"/>
      <c r="SBU15" s="518"/>
      <c r="SBV15" s="518"/>
      <c r="SBW15" s="518"/>
      <c r="SBX15" s="518"/>
      <c r="SBY15" s="518"/>
      <c r="SBZ15" s="518"/>
      <c r="SCA15" s="518"/>
      <c r="SCB15" s="518"/>
      <c r="SCC15" s="518"/>
      <c r="SCD15" s="518"/>
      <c r="SCE15" s="518"/>
      <c r="SCF15" s="518"/>
      <c r="SCG15" s="518"/>
      <c r="SCH15" s="518"/>
      <c r="SCI15" s="518"/>
      <c r="SCJ15" s="518"/>
      <c r="SCK15" s="518"/>
      <c r="SCL15" s="518"/>
      <c r="SCM15" s="518"/>
      <c r="SCN15" s="518"/>
      <c r="SCO15" s="518"/>
      <c r="SCP15" s="518"/>
      <c r="SCQ15" s="518"/>
      <c r="SCR15" s="518"/>
      <c r="SCS15" s="518"/>
      <c r="SCT15" s="518"/>
      <c r="SCU15" s="518"/>
      <c r="SCV15" s="518"/>
      <c r="SCW15" s="518"/>
      <c r="SCX15" s="518"/>
      <c r="SCY15" s="518"/>
      <c r="SCZ15" s="518"/>
      <c r="SDA15" s="518"/>
      <c r="SDB15" s="518"/>
      <c r="SDC15" s="518"/>
      <c r="SDD15" s="518"/>
      <c r="SDE15" s="518"/>
      <c r="SDF15" s="518"/>
      <c r="SDG15" s="518"/>
      <c r="SDH15" s="518"/>
      <c r="SDI15" s="518"/>
      <c r="SDJ15" s="518"/>
      <c r="SDK15" s="518"/>
      <c r="SDL15" s="518"/>
      <c r="SDM15" s="518"/>
      <c r="SDN15" s="518"/>
      <c r="SDO15" s="518"/>
      <c r="SDP15" s="518"/>
      <c r="SDQ15" s="518"/>
      <c r="SDR15" s="518"/>
      <c r="SDS15" s="518"/>
      <c r="SDT15" s="518"/>
      <c r="SDU15" s="518"/>
      <c r="SDV15" s="518"/>
      <c r="SDW15" s="518"/>
      <c r="SDX15" s="518"/>
      <c r="SDY15" s="518"/>
      <c r="SDZ15" s="518"/>
      <c r="SEA15" s="518"/>
      <c r="SEB15" s="518"/>
      <c r="SEC15" s="518"/>
      <c r="SED15" s="518"/>
      <c r="SEE15" s="518"/>
      <c r="SEF15" s="518"/>
      <c r="SEG15" s="518"/>
      <c r="SEH15" s="518"/>
      <c r="SEI15" s="518"/>
      <c r="SEJ15" s="518"/>
      <c r="SEK15" s="518"/>
      <c r="SEL15" s="518"/>
      <c r="SEM15" s="518"/>
      <c r="SEN15" s="518"/>
      <c r="SEO15" s="518"/>
      <c r="SEP15" s="518"/>
      <c r="SEQ15" s="518"/>
      <c r="SER15" s="518"/>
      <c r="SES15" s="518"/>
      <c r="SET15" s="518"/>
      <c r="SEU15" s="518"/>
      <c r="SEV15" s="518"/>
      <c r="SEW15" s="518"/>
      <c r="SEX15" s="518"/>
      <c r="SEY15" s="518"/>
      <c r="SEZ15" s="518"/>
      <c r="SFA15" s="518"/>
      <c r="SFB15" s="518"/>
      <c r="SFC15" s="518"/>
      <c r="SFD15" s="518"/>
      <c r="SFE15" s="518"/>
      <c r="SFF15" s="518"/>
      <c r="SFG15" s="518"/>
      <c r="SFH15" s="518"/>
      <c r="SFI15" s="518"/>
      <c r="SFJ15" s="518"/>
      <c r="SFK15" s="518"/>
      <c r="SFL15" s="518"/>
      <c r="SFM15" s="518"/>
      <c r="SFN15" s="518"/>
      <c r="SFO15" s="518"/>
      <c r="SFP15" s="518"/>
      <c r="SFQ15" s="518"/>
      <c r="SFR15" s="518"/>
      <c r="SFS15" s="518"/>
      <c r="SFT15" s="518"/>
      <c r="SFU15" s="518"/>
      <c r="SFV15" s="518"/>
      <c r="SFW15" s="518"/>
      <c r="SFX15" s="518"/>
      <c r="SFY15" s="518"/>
      <c r="SFZ15" s="518"/>
      <c r="SGA15" s="518"/>
      <c r="SGB15" s="518"/>
      <c r="SGC15" s="518"/>
      <c r="SGD15" s="518"/>
      <c r="SGE15" s="518"/>
      <c r="SGF15" s="518"/>
      <c r="SGG15" s="518"/>
      <c r="SGH15" s="518"/>
      <c r="SGI15" s="518"/>
      <c r="SGJ15" s="518"/>
      <c r="SGK15" s="518"/>
      <c r="SGL15" s="518"/>
      <c r="SGM15" s="518"/>
      <c r="SGN15" s="518"/>
      <c r="SGO15" s="518"/>
      <c r="SGP15" s="518"/>
      <c r="SGQ15" s="518"/>
      <c r="SGR15" s="518"/>
      <c r="SGS15" s="518"/>
      <c r="SGT15" s="518"/>
      <c r="SGU15" s="518"/>
      <c r="SGV15" s="518"/>
      <c r="SGW15" s="518"/>
      <c r="SGX15" s="518"/>
      <c r="SGY15" s="518"/>
      <c r="SGZ15" s="518"/>
      <c r="SHA15" s="518"/>
      <c r="SHB15" s="518"/>
      <c r="SHC15" s="518"/>
      <c r="SHD15" s="518"/>
      <c r="SHE15" s="518"/>
      <c r="SHF15" s="518"/>
      <c r="SHG15" s="518"/>
      <c r="SHH15" s="518"/>
      <c r="SHI15" s="518"/>
      <c r="SHJ15" s="518"/>
      <c r="SHK15" s="518"/>
      <c r="SHL15" s="518"/>
      <c r="SHM15" s="518"/>
      <c r="SHN15" s="518"/>
      <c r="SHO15" s="518"/>
      <c r="SHP15" s="518"/>
      <c r="SHQ15" s="518"/>
      <c r="SHR15" s="518"/>
      <c r="SHS15" s="518"/>
      <c r="SHT15" s="518"/>
      <c r="SHU15" s="518"/>
      <c r="SHV15" s="518"/>
      <c r="SHW15" s="518"/>
      <c r="SHX15" s="518"/>
      <c r="SHY15" s="518"/>
      <c r="SHZ15" s="518"/>
      <c r="SIA15" s="518"/>
      <c r="SIB15" s="518"/>
      <c r="SIC15" s="518"/>
      <c r="SID15" s="518"/>
      <c r="SIE15" s="518"/>
      <c r="SIF15" s="518"/>
      <c r="SIG15" s="518"/>
      <c r="SIH15" s="518"/>
      <c r="SII15" s="518"/>
      <c r="SIJ15" s="518"/>
      <c r="SIK15" s="518"/>
      <c r="SIL15" s="518"/>
      <c r="SIM15" s="518"/>
      <c r="SIN15" s="518"/>
      <c r="SIO15" s="518"/>
      <c r="SIP15" s="518"/>
      <c r="SIQ15" s="518"/>
      <c r="SIR15" s="518"/>
      <c r="SIS15" s="518"/>
      <c r="SIT15" s="518"/>
      <c r="SIU15" s="518"/>
      <c r="SIV15" s="518"/>
      <c r="SIW15" s="518"/>
      <c r="SIX15" s="518"/>
      <c r="SIY15" s="518"/>
      <c r="SIZ15" s="518"/>
      <c r="SJA15" s="518"/>
      <c r="SJB15" s="518"/>
      <c r="SJC15" s="518"/>
      <c r="SJD15" s="518"/>
      <c r="SJE15" s="518"/>
      <c r="SJF15" s="518"/>
      <c r="SJG15" s="518"/>
      <c r="SJH15" s="518"/>
      <c r="SJI15" s="518"/>
      <c r="SJJ15" s="518"/>
      <c r="SJK15" s="518"/>
      <c r="SJL15" s="518"/>
      <c r="SJM15" s="518"/>
      <c r="SJN15" s="518"/>
      <c r="SJO15" s="518"/>
      <c r="SJP15" s="518"/>
      <c r="SJQ15" s="518"/>
      <c r="SJR15" s="518"/>
      <c r="SJS15" s="518"/>
      <c r="SJT15" s="518"/>
      <c r="SJU15" s="518"/>
      <c r="SJV15" s="518"/>
      <c r="SJW15" s="518"/>
      <c r="SJX15" s="518"/>
      <c r="SJY15" s="518"/>
      <c r="SJZ15" s="518"/>
      <c r="SKA15" s="518"/>
      <c r="SKB15" s="518"/>
      <c r="SKC15" s="518"/>
      <c r="SKD15" s="518"/>
      <c r="SKE15" s="518"/>
      <c r="SKF15" s="518"/>
      <c r="SKG15" s="518"/>
      <c r="SKH15" s="518"/>
      <c r="SKI15" s="518"/>
      <c r="SKJ15" s="518"/>
      <c r="SKK15" s="518"/>
      <c r="SKL15" s="518"/>
      <c r="SKM15" s="518"/>
      <c r="SKN15" s="518"/>
      <c r="SKO15" s="518"/>
      <c r="SKP15" s="518"/>
      <c r="SKQ15" s="518"/>
      <c r="SKR15" s="518"/>
      <c r="SKS15" s="518"/>
      <c r="SKT15" s="518"/>
      <c r="SKU15" s="518"/>
      <c r="SKV15" s="518"/>
      <c r="SKW15" s="518"/>
      <c r="SKX15" s="518"/>
      <c r="SKY15" s="518"/>
      <c r="SKZ15" s="518"/>
      <c r="SLA15" s="518"/>
      <c r="SLB15" s="518"/>
      <c r="SLC15" s="518"/>
      <c r="SLD15" s="518"/>
      <c r="SLE15" s="518"/>
      <c r="SLF15" s="518"/>
      <c r="SLG15" s="518"/>
      <c r="SLH15" s="518"/>
      <c r="SLI15" s="518"/>
      <c r="SLJ15" s="518"/>
      <c r="SLK15" s="518"/>
      <c r="SLL15" s="518"/>
      <c r="SLM15" s="518"/>
      <c r="SLN15" s="518"/>
      <c r="SLO15" s="518"/>
      <c r="SLP15" s="518"/>
      <c r="SLQ15" s="518"/>
      <c r="SLR15" s="518"/>
      <c r="SLS15" s="518"/>
      <c r="SLT15" s="518"/>
      <c r="SLU15" s="518"/>
      <c r="SLV15" s="518"/>
      <c r="SLW15" s="518"/>
      <c r="SLX15" s="518"/>
      <c r="SLY15" s="518"/>
      <c r="SLZ15" s="518"/>
      <c r="SMA15" s="518"/>
      <c r="SMB15" s="518"/>
      <c r="SMC15" s="518"/>
      <c r="SMD15" s="518"/>
      <c r="SME15" s="518"/>
      <c r="SMF15" s="518"/>
      <c r="SMG15" s="518"/>
      <c r="SMH15" s="518"/>
      <c r="SMI15" s="518"/>
      <c r="SMJ15" s="518"/>
      <c r="SMK15" s="518"/>
      <c r="SML15" s="518"/>
      <c r="SMM15" s="518"/>
      <c r="SMN15" s="518"/>
      <c r="SMO15" s="518"/>
      <c r="SMP15" s="518"/>
      <c r="SMQ15" s="518"/>
      <c r="SMR15" s="518"/>
      <c r="SMS15" s="518"/>
      <c r="SMT15" s="518"/>
      <c r="SMU15" s="518"/>
      <c r="SMV15" s="518"/>
      <c r="SMW15" s="518"/>
      <c r="SMX15" s="518"/>
      <c r="SMY15" s="518"/>
      <c r="SMZ15" s="518"/>
      <c r="SNA15" s="518"/>
      <c r="SNB15" s="518"/>
      <c r="SNC15" s="518"/>
      <c r="SND15" s="518"/>
      <c r="SNE15" s="518"/>
      <c r="SNF15" s="518"/>
      <c r="SNG15" s="518"/>
      <c r="SNH15" s="518"/>
      <c r="SNI15" s="518"/>
      <c r="SNJ15" s="518"/>
      <c r="SNK15" s="518"/>
      <c r="SNL15" s="518"/>
      <c r="SNM15" s="518"/>
      <c r="SNN15" s="518"/>
      <c r="SNO15" s="518"/>
      <c r="SNP15" s="518"/>
      <c r="SNQ15" s="518"/>
      <c r="SNR15" s="518"/>
      <c r="SNS15" s="518"/>
      <c r="SNT15" s="518"/>
      <c r="SNU15" s="518"/>
      <c r="SNV15" s="518"/>
      <c r="SNW15" s="518"/>
      <c r="SNX15" s="518"/>
      <c r="SNY15" s="518"/>
      <c r="SNZ15" s="518"/>
      <c r="SOA15" s="518"/>
      <c r="SOB15" s="518"/>
      <c r="SOC15" s="518"/>
      <c r="SOD15" s="518"/>
      <c r="SOE15" s="518"/>
      <c r="SOF15" s="518"/>
      <c r="SOG15" s="518"/>
      <c r="SOH15" s="518"/>
      <c r="SOI15" s="518"/>
      <c r="SOJ15" s="518"/>
      <c r="SOK15" s="518"/>
      <c r="SOL15" s="518"/>
      <c r="SOM15" s="518"/>
      <c r="SON15" s="518"/>
      <c r="SOO15" s="518"/>
      <c r="SOP15" s="518"/>
      <c r="SOQ15" s="518"/>
      <c r="SOR15" s="518"/>
      <c r="SOS15" s="518"/>
      <c r="SOT15" s="518"/>
      <c r="SOU15" s="518"/>
      <c r="SOV15" s="518"/>
      <c r="SOW15" s="518"/>
      <c r="SOX15" s="518"/>
      <c r="SOY15" s="518"/>
      <c r="SOZ15" s="518"/>
      <c r="SPA15" s="518"/>
      <c r="SPB15" s="518"/>
      <c r="SPC15" s="518"/>
      <c r="SPD15" s="518"/>
      <c r="SPE15" s="518"/>
      <c r="SPF15" s="518"/>
      <c r="SPG15" s="518"/>
      <c r="SPH15" s="518"/>
      <c r="SPI15" s="518"/>
      <c r="SPJ15" s="518"/>
      <c r="SPK15" s="518"/>
      <c r="SPL15" s="518"/>
      <c r="SPM15" s="518"/>
      <c r="SPN15" s="518"/>
      <c r="SPO15" s="518"/>
      <c r="SPP15" s="518"/>
      <c r="SPQ15" s="518"/>
      <c r="SPR15" s="518"/>
      <c r="SPS15" s="518"/>
      <c r="SPT15" s="518"/>
      <c r="SPU15" s="518"/>
      <c r="SPV15" s="518"/>
      <c r="SPW15" s="518"/>
      <c r="SPX15" s="518"/>
      <c r="SPY15" s="518"/>
      <c r="SPZ15" s="518"/>
      <c r="SQA15" s="518"/>
      <c r="SQB15" s="518"/>
      <c r="SQC15" s="518"/>
      <c r="SQD15" s="518"/>
      <c r="SQE15" s="518"/>
      <c r="SQF15" s="518"/>
      <c r="SQG15" s="518"/>
      <c r="SQH15" s="518"/>
      <c r="SQI15" s="518"/>
      <c r="SQJ15" s="518"/>
      <c r="SQK15" s="518"/>
      <c r="SQL15" s="518"/>
      <c r="SQM15" s="518"/>
      <c r="SQN15" s="518"/>
      <c r="SQO15" s="518"/>
      <c r="SQP15" s="518"/>
      <c r="SQQ15" s="518"/>
      <c r="SQR15" s="518"/>
      <c r="SQS15" s="518"/>
      <c r="SQT15" s="518"/>
      <c r="SQU15" s="518"/>
      <c r="SQV15" s="518"/>
      <c r="SQW15" s="518"/>
      <c r="SQX15" s="518"/>
      <c r="SQY15" s="518"/>
      <c r="SQZ15" s="518"/>
      <c r="SRA15" s="518"/>
      <c r="SRB15" s="518"/>
      <c r="SRC15" s="518"/>
      <c r="SRD15" s="518"/>
      <c r="SRE15" s="518"/>
      <c r="SRF15" s="518"/>
      <c r="SRG15" s="518"/>
      <c r="SRH15" s="518"/>
      <c r="SRI15" s="518"/>
      <c r="SRJ15" s="518"/>
      <c r="SRK15" s="518"/>
      <c r="SRL15" s="518"/>
      <c r="SRM15" s="518"/>
      <c r="SRN15" s="518"/>
      <c r="SRO15" s="518"/>
      <c r="SRP15" s="518"/>
      <c r="SRQ15" s="518"/>
      <c r="SRR15" s="518"/>
      <c r="SRS15" s="518"/>
      <c r="SRT15" s="518"/>
      <c r="SRU15" s="518"/>
      <c r="SRV15" s="518"/>
      <c r="SRW15" s="518"/>
      <c r="SRX15" s="518"/>
      <c r="SRY15" s="518"/>
      <c r="SRZ15" s="518"/>
      <c r="SSA15" s="518"/>
      <c r="SSB15" s="518"/>
      <c r="SSC15" s="518"/>
      <c r="SSD15" s="518"/>
      <c r="SSE15" s="518"/>
      <c r="SSF15" s="518"/>
      <c r="SSG15" s="518"/>
      <c r="SSH15" s="518"/>
      <c r="SSI15" s="518"/>
      <c r="SSJ15" s="518"/>
      <c r="SSK15" s="518"/>
      <c r="SSL15" s="518"/>
      <c r="SSM15" s="518"/>
      <c r="SSN15" s="518"/>
      <c r="SSO15" s="518"/>
      <c r="SSP15" s="518"/>
      <c r="SSQ15" s="518"/>
      <c r="SSR15" s="518"/>
      <c r="SSS15" s="518"/>
      <c r="SST15" s="518"/>
      <c r="SSU15" s="518"/>
      <c r="SSV15" s="518"/>
      <c r="SSW15" s="518"/>
      <c r="SSX15" s="518"/>
      <c r="SSY15" s="518"/>
      <c r="SSZ15" s="518"/>
      <c r="STA15" s="518"/>
      <c r="STB15" s="518"/>
      <c r="STC15" s="518"/>
      <c r="STD15" s="518"/>
      <c r="STE15" s="518"/>
      <c r="STF15" s="518"/>
      <c r="STG15" s="518"/>
      <c r="STH15" s="518"/>
      <c r="STI15" s="518"/>
      <c r="STJ15" s="518"/>
      <c r="STK15" s="518"/>
      <c r="STL15" s="518"/>
      <c r="STM15" s="518"/>
      <c r="STN15" s="518"/>
      <c r="STO15" s="518"/>
      <c r="STP15" s="518"/>
      <c r="STQ15" s="518"/>
      <c r="STR15" s="518"/>
      <c r="STS15" s="518"/>
      <c r="STT15" s="518"/>
      <c r="STU15" s="518"/>
      <c r="STV15" s="518"/>
      <c r="STW15" s="518"/>
      <c r="STX15" s="518"/>
      <c r="STY15" s="518"/>
      <c r="STZ15" s="518"/>
      <c r="SUA15" s="518"/>
      <c r="SUB15" s="518"/>
      <c r="SUC15" s="518"/>
      <c r="SUD15" s="518"/>
      <c r="SUE15" s="518"/>
      <c r="SUF15" s="518"/>
      <c r="SUG15" s="518"/>
      <c r="SUH15" s="518"/>
      <c r="SUI15" s="518"/>
      <c r="SUJ15" s="518"/>
      <c r="SUK15" s="518"/>
      <c r="SUL15" s="518"/>
      <c r="SUM15" s="518"/>
      <c r="SUN15" s="518"/>
      <c r="SUO15" s="518"/>
      <c r="SUP15" s="518"/>
      <c r="SUQ15" s="518"/>
      <c r="SUR15" s="518"/>
      <c r="SUS15" s="518"/>
      <c r="SUT15" s="518"/>
      <c r="SUU15" s="518"/>
      <c r="SUV15" s="518"/>
      <c r="SUW15" s="518"/>
      <c r="SUX15" s="518"/>
      <c r="SUY15" s="518"/>
      <c r="SUZ15" s="518"/>
      <c r="SVA15" s="518"/>
      <c r="SVB15" s="518"/>
      <c r="SVC15" s="518"/>
      <c r="SVD15" s="518"/>
      <c r="SVE15" s="518"/>
      <c r="SVF15" s="518"/>
      <c r="SVG15" s="518"/>
      <c r="SVH15" s="518"/>
      <c r="SVI15" s="518"/>
      <c r="SVJ15" s="518"/>
      <c r="SVK15" s="518"/>
      <c r="SVL15" s="518"/>
      <c r="SVM15" s="518"/>
      <c r="SVN15" s="518"/>
      <c r="SVO15" s="518"/>
      <c r="SVP15" s="518"/>
      <c r="SVQ15" s="518"/>
      <c r="SVR15" s="518"/>
      <c r="SVS15" s="518"/>
      <c r="SVT15" s="518"/>
      <c r="SVU15" s="518"/>
      <c r="SVV15" s="518"/>
      <c r="SVW15" s="518"/>
      <c r="SVX15" s="518"/>
      <c r="SVY15" s="518"/>
      <c r="SVZ15" s="518"/>
      <c r="SWA15" s="518"/>
      <c r="SWB15" s="518"/>
      <c r="SWC15" s="518"/>
      <c r="SWD15" s="518"/>
      <c r="SWE15" s="518"/>
      <c r="SWF15" s="518"/>
      <c r="SWG15" s="518"/>
      <c r="SWH15" s="518"/>
      <c r="SWI15" s="518"/>
      <c r="SWJ15" s="518"/>
      <c r="SWK15" s="518"/>
      <c r="SWL15" s="518"/>
      <c r="SWM15" s="518"/>
      <c r="SWN15" s="518"/>
      <c r="SWO15" s="518"/>
      <c r="SWP15" s="518"/>
      <c r="SWQ15" s="518"/>
      <c r="SWR15" s="518"/>
      <c r="SWS15" s="518"/>
      <c r="SWT15" s="518"/>
      <c r="SWU15" s="518"/>
      <c r="SWV15" s="518"/>
      <c r="SWW15" s="518"/>
      <c r="SWX15" s="518"/>
      <c r="SWY15" s="518"/>
      <c r="SWZ15" s="518"/>
      <c r="SXA15" s="518"/>
      <c r="SXB15" s="518"/>
      <c r="SXC15" s="518"/>
      <c r="SXD15" s="518"/>
      <c r="SXE15" s="518"/>
      <c r="SXF15" s="518"/>
      <c r="SXG15" s="518"/>
      <c r="SXH15" s="518"/>
      <c r="SXI15" s="518"/>
      <c r="SXJ15" s="518"/>
      <c r="SXK15" s="518"/>
      <c r="SXL15" s="518"/>
      <c r="SXM15" s="518"/>
      <c r="SXN15" s="518"/>
      <c r="SXO15" s="518"/>
      <c r="SXP15" s="518"/>
      <c r="SXQ15" s="518"/>
      <c r="SXR15" s="518"/>
      <c r="SXS15" s="518"/>
      <c r="SXT15" s="518"/>
      <c r="SXU15" s="518"/>
      <c r="SXV15" s="518"/>
      <c r="SXW15" s="518"/>
      <c r="SXX15" s="518"/>
      <c r="SXY15" s="518"/>
      <c r="SXZ15" s="518"/>
      <c r="SYA15" s="518"/>
      <c r="SYB15" s="518"/>
      <c r="SYC15" s="518"/>
      <c r="SYD15" s="518"/>
      <c r="SYE15" s="518"/>
      <c r="SYF15" s="518"/>
      <c r="SYG15" s="518"/>
      <c r="SYH15" s="518"/>
      <c r="SYI15" s="518"/>
      <c r="SYJ15" s="518"/>
      <c r="SYK15" s="518"/>
      <c r="SYL15" s="518"/>
      <c r="SYM15" s="518"/>
      <c r="SYN15" s="518"/>
      <c r="SYO15" s="518"/>
      <c r="SYP15" s="518"/>
      <c r="SYQ15" s="518"/>
      <c r="SYR15" s="518"/>
      <c r="SYS15" s="518"/>
      <c r="SYT15" s="518"/>
      <c r="SYU15" s="518"/>
      <c r="SYV15" s="518"/>
      <c r="SYW15" s="518"/>
      <c r="SYX15" s="518"/>
      <c r="SYY15" s="518"/>
      <c r="SYZ15" s="518"/>
      <c r="SZA15" s="518"/>
      <c r="SZB15" s="518"/>
      <c r="SZC15" s="518"/>
      <c r="SZD15" s="518"/>
      <c r="SZE15" s="518"/>
      <c r="SZF15" s="518"/>
      <c r="SZG15" s="518"/>
      <c r="SZH15" s="518"/>
      <c r="SZI15" s="518"/>
      <c r="SZJ15" s="518"/>
      <c r="SZK15" s="518"/>
      <c r="SZL15" s="518"/>
      <c r="SZM15" s="518"/>
      <c r="SZN15" s="518"/>
      <c r="SZO15" s="518"/>
      <c r="SZP15" s="518"/>
      <c r="SZQ15" s="518"/>
      <c r="SZR15" s="518"/>
      <c r="SZS15" s="518"/>
      <c r="SZT15" s="518"/>
      <c r="SZU15" s="518"/>
      <c r="SZV15" s="518"/>
      <c r="SZW15" s="518"/>
      <c r="SZX15" s="518"/>
      <c r="SZY15" s="518"/>
      <c r="SZZ15" s="518"/>
      <c r="TAA15" s="518"/>
      <c r="TAB15" s="518"/>
      <c r="TAC15" s="518"/>
      <c r="TAD15" s="518"/>
      <c r="TAE15" s="518"/>
      <c r="TAF15" s="518"/>
      <c r="TAG15" s="518"/>
      <c r="TAH15" s="518"/>
      <c r="TAI15" s="518"/>
      <c r="TAJ15" s="518"/>
      <c r="TAK15" s="518"/>
      <c r="TAL15" s="518"/>
      <c r="TAM15" s="518"/>
      <c r="TAN15" s="518"/>
      <c r="TAO15" s="518"/>
      <c r="TAP15" s="518"/>
      <c r="TAQ15" s="518"/>
      <c r="TAR15" s="518"/>
      <c r="TAS15" s="518"/>
      <c r="TAT15" s="518"/>
      <c r="TAU15" s="518"/>
      <c r="TAV15" s="518"/>
      <c r="TAW15" s="518"/>
      <c r="TAX15" s="518"/>
      <c r="TAY15" s="518"/>
      <c r="TAZ15" s="518"/>
      <c r="TBA15" s="518"/>
      <c r="TBB15" s="518"/>
      <c r="TBC15" s="518"/>
      <c r="TBD15" s="518"/>
      <c r="TBE15" s="518"/>
      <c r="TBF15" s="518"/>
      <c r="TBG15" s="518"/>
      <c r="TBH15" s="518"/>
      <c r="TBI15" s="518"/>
      <c r="TBJ15" s="518"/>
      <c r="TBK15" s="518"/>
      <c r="TBL15" s="518"/>
      <c r="TBM15" s="518"/>
      <c r="TBN15" s="518"/>
      <c r="TBO15" s="518"/>
      <c r="TBP15" s="518"/>
      <c r="TBQ15" s="518"/>
      <c r="TBR15" s="518"/>
      <c r="TBS15" s="518"/>
      <c r="TBT15" s="518"/>
      <c r="TBU15" s="518"/>
      <c r="TBV15" s="518"/>
      <c r="TBW15" s="518"/>
      <c r="TBX15" s="518"/>
      <c r="TBY15" s="518"/>
      <c r="TBZ15" s="518"/>
      <c r="TCA15" s="518"/>
      <c r="TCB15" s="518"/>
      <c r="TCC15" s="518"/>
      <c r="TCD15" s="518"/>
      <c r="TCE15" s="518"/>
      <c r="TCF15" s="518"/>
      <c r="TCG15" s="518"/>
      <c r="TCH15" s="518"/>
      <c r="TCI15" s="518"/>
      <c r="TCJ15" s="518"/>
      <c r="TCK15" s="518"/>
      <c r="TCL15" s="518"/>
      <c r="TCM15" s="518"/>
      <c r="TCN15" s="518"/>
      <c r="TCO15" s="518"/>
      <c r="TCP15" s="518"/>
      <c r="TCQ15" s="518"/>
      <c r="TCR15" s="518"/>
      <c r="TCS15" s="518"/>
      <c r="TCT15" s="518"/>
      <c r="TCU15" s="518"/>
      <c r="TCV15" s="518"/>
      <c r="TCW15" s="518"/>
      <c r="TCX15" s="518"/>
      <c r="TCY15" s="518"/>
      <c r="TCZ15" s="518"/>
      <c r="TDA15" s="518"/>
      <c r="TDB15" s="518"/>
      <c r="TDC15" s="518"/>
      <c r="TDD15" s="518"/>
      <c r="TDE15" s="518"/>
      <c r="TDF15" s="518"/>
      <c r="TDG15" s="518"/>
      <c r="TDH15" s="518"/>
      <c r="TDI15" s="518"/>
      <c r="TDJ15" s="518"/>
      <c r="TDK15" s="518"/>
      <c r="TDL15" s="518"/>
      <c r="TDM15" s="518"/>
      <c r="TDN15" s="518"/>
      <c r="TDO15" s="518"/>
      <c r="TDP15" s="518"/>
      <c r="TDQ15" s="518"/>
      <c r="TDR15" s="518"/>
      <c r="TDS15" s="518"/>
      <c r="TDT15" s="518"/>
      <c r="TDU15" s="518"/>
      <c r="TDV15" s="518"/>
      <c r="TDW15" s="518"/>
      <c r="TDX15" s="518"/>
      <c r="TDY15" s="518"/>
      <c r="TDZ15" s="518"/>
      <c r="TEA15" s="518"/>
      <c r="TEB15" s="518"/>
      <c r="TEC15" s="518"/>
      <c r="TED15" s="518"/>
      <c r="TEE15" s="518"/>
      <c r="TEF15" s="518"/>
      <c r="TEG15" s="518"/>
      <c r="TEH15" s="518"/>
      <c r="TEI15" s="518"/>
      <c r="TEJ15" s="518"/>
      <c r="TEK15" s="518"/>
      <c r="TEL15" s="518"/>
      <c r="TEM15" s="518"/>
      <c r="TEN15" s="518"/>
      <c r="TEO15" s="518"/>
      <c r="TEP15" s="518"/>
      <c r="TEQ15" s="518"/>
      <c r="TER15" s="518"/>
      <c r="TES15" s="518"/>
      <c r="TET15" s="518"/>
      <c r="TEU15" s="518"/>
      <c r="TEV15" s="518"/>
      <c r="TEW15" s="518"/>
      <c r="TEX15" s="518"/>
      <c r="TEY15" s="518"/>
      <c r="TEZ15" s="518"/>
      <c r="TFA15" s="518"/>
      <c r="TFB15" s="518"/>
      <c r="TFC15" s="518"/>
      <c r="TFD15" s="518"/>
      <c r="TFE15" s="518"/>
      <c r="TFF15" s="518"/>
      <c r="TFG15" s="518"/>
      <c r="TFH15" s="518"/>
      <c r="TFI15" s="518"/>
      <c r="TFJ15" s="518"/>
      <c r="TFK15" s="518"/>
      <c r="TFL15" s="518"/>
      <c r="TFM15" s="518"/>
      <c r="TFN15" s="518"/>
      <c r="TFO15" s="518"/>
      <c r="TFP15" s="518"/>
      <c r="TFQ15" s="518"/>
      <c r="TFR15" s="518"/>
      <c r="TFS15" s="518"/>
      <c r="TFT15" s="518"/>
      <c r="TFU15" s="518"/>
      <c r="TFV15" s="518"/>
      <c r="TFW15" s="518"/>
      <c r="TFX15" s="518"/>
      <c r="TFY15" s="518"/>
      <c r="TFZ15" s="518"/>
      <c r="TGA15" s="518"/>
      <c r="TGB15" s="518"/>
      <c r="TGC15" s="518"/>
      <c r="TGD15" s="518"/>
      <c r="TGE15" s="518"/>
      <c r="TGF15" s="518"/>
      <c r="TGG15" s="518"/>
      <c r="TGH15" s="518"/>
      <c r="TGI15" s="518"/>
      <c r="TGJ15" s="518"/>
      <c r="TGK15" s="518"/>
      <c r="TGL15" s="518"/>
      <c r="TGM15" s="518"/>
      <c r="TGN15" s="518"/>
      <c r="TGO15" s="518"/>
      <c r="TGP15" s="518"/>
      <c r="TGQ15" s="518"/>
      <c r="TGR15" s="518"/>
      <c r="TGS15" s="518"/>
      <c r="TGT15" s="518"/>
      <c r="TGU15" s="518"/>
      <c r="TGV15" s="518"/>
      <c r="TGW15" s="518"/>
      <c r="TGX15" s="518"/>
      <c r="TGY15" s="518"/>
      <c r="TGZ15" s="518"/>
      <c r="THA15" s="518"/>
      <c r="THB15" s="518"/>
      <c r="THC15" s="518"/>
      <c r="THD15" s="518"/>
      <c r="THE15" s="518"/>
      <c r="THF15" s="518"/>
      <c r="THG15" s="518"/>
      <c r="THH15" s="518"/>
      <c r="THI15" s="518"/>
      <c r="THJ15" s="518"/>
      <c r="THK15" s="518"/>
      <c r="THL15" s="518"/>
      <c r="THM15" s="518"/>
      <c r="THN15" s="518"/>
      <c r="THO15" s="518"/>
      <c r="THP15" s="518"/>
      <c r="THQ15" s="518"/>
      <c r="THR15" s="518"/>
      <c r="THS15" s="518"/>
      <c r="THT15" s="518"/>
      <c r="THU15" s="518"/>
      <c r="THV15" s="518"/>
      <c r="THW15" s="518"/>
      <c r="THX15" s="518"/>
      <c r="THY15" s="518"/>
      <c r="THZ15" s="518"/>
      <c r="TIA15" s="518"/>
      <c r="TIB15" s="518"/>
      <c r="TIC15" s="518"/>
      <c r="TID15" s="518"/>
      <c r="TIE15" s="518"/>
      <c r="TIF15" s="518"/>
      <c r="TIG15" s="518"/>
      <c r="TIH15" s="518"/>
      <c r="TII15" s="518"/>
      <c r="TIJ15" s="518"/>
      <c r="TIK15" s="518"/>
      <c r="TIL15" s="518"/>
      <c r="TIM15" s="518"/>
      <c r="TIN15" s="518"/>
      <c r="TIO15" s="518"/>
      <c r="TIP15" s="518"/>
      <c r="TIQ15" s="518"/>
      <c r="TIR15" s="518"/>
      <c r="TIS15" s="518"/>
      <c r="TIT15" s="518"/>
      <c r="TIU15" s="518"/>
      <c r="TIV15" s="518"/>
      <c r="TIW15" s="518"/>
      <c r="TIX15" s="518"/>
      <c r="TIY15" s="518"/>
      <c r="TIZ15" s="518"/>
      <c r="TJA15" s="518"/>
      <c r="TJB15" s="518"/>
      <c r="TJC15" s="518"/>
      <c r="TJD15" s="518"/>
      <c r="TJE15" s="518"/>
      <c r="TJF15" s="518"/>
      <c r="TJG15" s="518"/>
      <c r="TJH15" s="518"/>
      <c r="TJI15" s="518"/>
      <c r="TJJ15" s="518"/>
      <c r="TJK15" s="518"/>
      <c r="TJL15" s="518"/>
      <c r="TJM15" s="518"/>
      <c r="TJN15" s="518"/>
      <c r="TJO15" s="518"/>
      <c r="TJP15" s="518"/>
      <c r="TJQ15" s="518"/>
      <c r="TJR15" s="518"/>
      <c r="TJS15" s="518"/>
      <c r="TJT15" s="518"/>
      <c r="TJU15" s="518"/>
      <c r="TJV15" s="518"/>
      <c r="TJW15" s="518"/>
      <c r="TJX15" s="518"/>
      <c r="TJY15" s="518"/>
      <c r="TJZ15" s="518"/>
      <c r="TKA15" s="518"/>
      <c r="TKB15" s="518"/>
      <c r="TKC15" s="518"/>
      <c r="TKD15" s="518"/>
      <c r="TKE15" s="518"/>
      <c r="TKF15" s="518"/>
      <c r="TKG15" s="518"/>
      <c r="TKH15" s="518"/>
      <c r="TKI15" s="518"/>
      <c r="TKJ15" s="518"/>
      <c r="TKK15" s="518"/>
      <c r="TKL15" s="518"/>
      <c r="TKM15" s="518"/>
      <c r="TKN15" s="518"/>
      <c r="TKO15" s="518"/>
      <c r="TKP15" s="518"/>
      <c r="TKQ15" s="518"/>
      <c r="TKR15" s="518"/>
      <c r="TKS15" s="518"/>
      <c r="TKT15" s="518"/>
      <c r="TKU15" s="518"/>
      <c r="TKV15" s="518"/>
      <c r="TKW15" s="518"/>
      <c r="TKX15" s="518"/>
      <c r="TKY15" s="518"/>
      <c r="TKZ15" s="518"/>
      <c r="TLA15" s="518"/>
      <c r="TLB15" s="518"/>
      <c r="TLC15" s="518"/>
      <c r="TLD15" s="518"/>
      <c r="TLE15" s="518"/>
      <c r="TLF15" s="518"/>
      <c r="TLG15" s="518"/>
      <c r="TLH15" s="518"/>
      <c r="TLI15" s="518"/>
      <c r="TLJ15" s="518"/>
      <c r="TLK15" s="518"/>
      <c r="TLL15" s="518"/>
      <c r="TLM15" s="518"/>
      <c r="TLN15" s="518"/>
      <c r="TLO15" s="518"/>
      <c r="TLP15" s="518"/>
      <c r="TLQ15" s="518"/>
      <c r="TLR15" s="518"/>
      <c r="TLS15" s="518"/>
      <c r="TLT15" s="518"/>
      <c r="TLU15" s="518"/>
      <c r="TLV15" s="518"/>
      <c r="TLW15" s="518"/>
      <c r="TLX15" s="518"/>
      <c r="TLY15" s="518"/>
      <c r="TLZ15" s="518"/>
      <c r="TMA15" s="518"/>
      <c r="TMB15" s="518"/>
      <c r="TMC15" s="518"/>
      <c r="TMD15" s="518"/>
      <c r="TME15" s="518"/>
      <c r="TMF15" s="518"/>
      <c r="TMG15" s="518"/>
      <c r="TMH15" s="518"/>
      <c r="TMI15" s="518"/>
      <c r="TMJ15" s="518"/>
      <c r="TMK15" s="518"/>
      <c r="TML15" s="518"/>
      <c r="TMM15" s="518"/>
      <c r="TMN15" s="518"/>
      <c r="TMO15" s="518"/>
      <c r="TMP15" s="518"/>
      <c r="TMQ15" s="518"/>
      <c r="TMR15" s="518"/>
      <c r="TMS15" s="518"/>
      <c r="TMT15" s="518"/>
      <c r="TMU15" s="518"/>
      <c r="TMV15" s="518"/>
      <c r="TMW15" s="518"/>
      <c r="TMX15" s="518"/>
      <c r="TMY15" s="518"/>
      <c r="TMZ15" s="518"/>
      <c r="TNA15" s="518"/>
      <c r="TNB15" s="518"/>
      <c r="TNC15" s="518"/>
      <c r="TND15" s="518"/>
      <c r="TNE15" s="518"/>
      <c r="TNF15" s="518"/>
      <c r="TNG15" s="518"/>
      <c r="TNH15" s="518"/>
      <c r="TNI15" s="518"/>
      <c r="TNJ15" s="518"/>
      <c r="TNK15" s="518"/>
      <c r="TNL15" s="518"/>
      <c r="TNM15" s="518"/>
      <c r="TNN15" s="518"/>
      <c r="TNO15" s="518"/>
      <c r="TNP15" s="518"/>
      <c r="TNQ15" s="518"/>
      <c r="TNR15" s="518"/>
      <c r="TNS15" s="518"/>
      <c r="TNT15" s="518"/>
      <c r="TNU15" s="518"/>
      <c r="TNV15" s="518"/>
      <c r="TNW15" s="518"/>
      <c r="TNX15" s="518"/>
      <c r="TNY15" s="518"/>
      <c r="TNZ15" s="518"/>
      <c r="TOA15" s="518"/>
      <c r="TOB15" s="518"/>
      <c r="TOC15" s="518"/>
      <c r="TOD15" s="518"/>
      <c r="TOE15" s="518"/>
      <c r="TOF15" s="518"/>
      <c r="TOG15" s="518"/>
      <c r="TOH15" s="518"/>
      <c r="TOI15" s="518"/>
      <c r="TOJ15" s="518"/>
      <c r="TOK15" s="518"/>
      <c r="TOL15" s="518"/>
      <c r="TOM15" s="518"/>
      <c r="TON15" s="518"/>
      <c r="TOO15" s="518"/>
      <c r="TOP15" s="518"/>
      <c r="TOQ15" s="518"/>
      <c r="TOR15" s="518"/>
      <c r="TOS15" s="518"/>
      <c r="TOT15" s="518"/>
      <c r="TOU15" s="518"/>
      <c r="TOV15" s="518"/>
      <c r="TOW15" s="518"/>
      <c r="TOX15" s="518"/>
      <c r="TOY15" s="518"/>
      <c r="TOZ15" s="518"/>
      <c r="TPA15" s="518"/>
      <c r="TPB15" s="518"/>
      <c r="TPC15" s="518"/>
      <c r="TPD15" s="518"/>
      <c r="TPE15" s="518"/>
      <c r="TPF15" s="518"/>
      <c r="TPG15" s="518"/>
      <c r="TPH15" s="518"/>
      <c r="TPI15" s="518"/>
      <c r="TPJ15" s="518"/>
      <c r="TPK15" s="518"/>
      <c r="TPL15" s="518"/>
      <c r="TPM15" s="518"/>
      <c r="TPN15" s="518"/>
      <c r="TPO15" s="518"/>
      <c r="TPP15" s="518"/>
      <c r="TPQ15" s="518"/>
      <c r="TPR15" s="518"/>
      <c r="TPS15" s="518"/>
      <c r="TPT15" s="518"/>
      <c r="TPU15" s="518"/>
      <c r="TPV15" s="518"/>
      <c r="TPW15" s="518"/>
      <c r="TPX15" s="518"/>
      <c r="TPY15" s="518"/>
      <c r="TPZ15" s="518"/>
      <c r="TQA15" s="518"/>
      <c r="TQB15" s="518"/>
      <c r="TQC15" s="518"/>
      <c r="TQD15" s="518"/>
      <c r="TQE15" s="518"/>
      <c r="TQF15" s="518"/>
      <c r="TQG15" s="518"/>
      <c r="TQH15" s="518"/>
      <c r="TQI15" s="518"/>
      <c r="TQJ15" s="518"/>
      <c r="TQK15" s="518"/>
      <c r="TQL15" s="518"/>
      <c r="TQM15" s="518"/>
      <c r="TQN15" s="518"/>
      <c r="TQO15" s="518"/>
      <c r="TQP15" s="518"/>
      <c r="TQQ15" s="518"/>
      <c r="TQR15" s="518"/>
      <c r="TQS15" s="518"/>
      <c r="TQT15" s="518"/>
      <c r="TQU15" s="518"/>
      <c r="TQV15" s="518"/>
      <c r="TQW15" s="518"/>
      <c r="TQX15" s="518"/>
      <c r="TQY15" s="518"/>
      <c r="TQZ15" s="518"/>
      <c r="TRA15" s="518"/>
      <c r="TRB15" s="518"/>
      <c r="TRC15" s="518"/>
      <c r="TRD15" s="518"/>
      <c r="TRE15" s="518"/>
      <c r="TRF15" s="518"/>
      <c r="TRG15" s="518"/>
      <c r="TRH15" s="518"/>
      <c r="TRI15" s="518"/>
      <c r="TRJ15" s="518"/>
      <c r="TRK15" s="518"/>
      <c r="TRL15" s="518"/>
      <c r="TRM15" s="518"/>
      <c r="TRN15" s="518"/>
      <c r="TRO15" s="518"/>
      <c r="TRP15" s="518"/>
      <c r="TRQ15" s="518"/>
      <c r="TRR15" s="518"/>
      <c r="TRS15" s="518"/>
      <c r="TRT15" s="518"/>
      <c r="TRU15" s="518"/>
      <c r="TRV15" s="518"/>
      <c r="TRW15" s="518"/>
      <c r="TRX15" s="518"/>
      <c r="TRY15" s="518"/>
      <c r="TRZ15" s="518"/>
      <c r="TSA15" s="518"/>
      <c r="TSB15" s="518"/>
      <c r="TSC15" s="518"/>
      <c r="TSD15" s="518"/>
      <c r="TSE15" s="518"/>
      <c r="TSF15" s="518"/>
      <c r="TSG15" s="518"/>
      <c r="TSH15" s="518"/>
      <c r="TSI15" s="518"/>
      <c r="TSJ15" s="518"/>
      <c r="TSK15" s="518"/>
      <c r="TSL15" s="518"/>
      <c r="TSM15" s="518"/>
      <c r="TSN15" s="518"/>
      <c r="TSO15" s="518"/>
      <c r="TSP15" s="518"/>
      <c r="TSQ15" s="518"/>
      <c r="TSR15" s="518"/>
      <c r="TSS15" s="518"/>
      <c r="TST15" s="518"/>
      <c r="TSU15" s="518"/>
      <c r="TSV15" s="518"/>
      <c r="TSW15" s="518"/>
      <c r="TSX15" s="518"/>
      <c r="TSY15" s="518"/>
      <c r="TSZ15" s="518"/>
      <c r="TTA15" s="518"/>
      <c r="TTB15" s="518"/>
      <c r="TTC15" s="518"/>
      <c r="TTD15" s="518"/>
      <c r="TTE15" s="518"/>
      <c r="TTF15" s="518"/>
      <c r="TTG15" s="518"/>
      <c r="TTH15" s="518"/>
      <c r="TTI15" s="518"/>
      <c r="TTJ15" s="518"/>
      <c r="TTK15" s="518"/>
      <c r="TTL15" s="518"/>
      <c r="TTM15" s="518"/>
      <c r="TTN15" s="518"/>
      <c r="TTO15" s="518"/>
      <c r="TTP15" s="518"/>
      <c r="TTQ15" s="518"/>
      <c r="TTR15" s="518"/>
      <c r="TTS15" s="518"/>
      <c r="TTT15" s="518"/>
      <c r="TTU15" s="518"/>
      <c r="TTV15" s="518"/>
      <c r="TTW15" s="518"/>
      <c r="TTX15" s="518"/>
      <c r="TTY15" s="518"/>
      <c r="TTZ15" s="518"/>
      <c r="TUA15" s="518"/>
      <c r="TUB15" s="518"/>
      <c r="TUC15" s="518"/>
      <c r="TUD15" s="518"/>
      <c r="TUE15" s="518"/>
      <c r="TUF15" s="518"/>
      <c r="TUG15" s="518"/>
      <c r="TUH15" s="518"/>
      <c r="TUI15" s="518"/>
      <c r="TUJ15" s="518"/>
      <c r="TUK15" s="518"/>
      <c r="TUL15" s="518"/>
      <c r="TUM15" s="518"/>
      <c r="TUN15" s="518"/>
      <c r="TUO15" s="518"/>
      <c r="TUP15" s="518"/>
      <c r="TUQ15" s="518"/>
      <c r="TUR15" s="518"/>
      <c r="TUS15" s="518"/>
      <c r="TUT15" s="518"/>
      <c r="TUU15" s="518"/>
      <c r="TUV15" s="518"/>
      <c r="TUW15" s="518"/>
      <c r="TUX15" s="518"/>
      <c r="TUY15" s="518"/>
      <c r="TUZ15" s="518"/>
      <c r="TVA15" s="518"/>
      <c r="TVB15" s="518"/>
      <c r="TVC15" s="518"/>
      <c r="TVD15" s="518"/>
      <c r="TVE15" s="518"/>
      <c r="TVF15" s="518"/>
      <c r="TVG15" s="518"/>
      <c r="TVH15" s="518"/>
      <c r="TVI15" s="518"/>
      <c r="TVJ15" s="518"/>
      <c r="TVK15" s="518"/>
      <c r="TVL15" s="518"/>
      <c r="TVM15" s="518"/>
      <c r="TVN15" s="518"/>
      <c r="TVO15" s="518"/>
      <c r="TVP15" s="518"/>
      <c r="TVQ15" s="518"/>
      <c r="TVR15" s="518"/>
      <c r="TVS15" s="518"/>
      <c r="TVT15" s="518"/>
      <c r="TVU15" s="518"/>
      <c r="TVV15" s="518"/>
      <c r="TVW15" s="518"/>
      <c r="TVX15" s="518"/>
      <c r="TVY15" s="518"/>
      <c r="TVZ15" s="518"/>
      <c r="TWA15" s="518"/>
      <c r="TWB15" s="518"/>
      <c r="TWC15" s="518"/>
      <c r="TWD15" s="518"/>
      <c r="TWE15" s="518"/>
      <c r="TWF15" s="518"/>
      <c r="TWG15" s="518"/>
      <c r="TWH15" s="518"/>
      <c r="TWI15" s="518"/>
      <c r="TWJ15" s="518"/>
      <c r="TWK15" s="518"/>
      <c r="TWL15" s="518"/>
      <c r="TWM15" s="518"/>
      <c r="TWN15" s="518"/>
      <c r="TWO15" s="518"/>
      <c r="TWP15" s="518"/>
      <c r="TWQ15" s="518"/>
      <c r="TWR15" s="518"/>
      <c r="TWS15" s="518"/>
      <c r="TWT15" s="518"/>
      <c r="TWU15" s="518"/>
      <c r="TWV15" s="518"/>
      <c r="TWW15" s="518"/>
      <c r="TWX15" s="518"/>
      <c r="TWY15" s="518"/>
      <c r="TWZ15" s="518"/>
      <c r="TXA15" s="518"/>
      <c r="TXB15" s="518"/>
      <c r="TXC15" s="518"/>
      <c r="TXD15" s="518"/>
      <c r="TXE15" s="518"/>
      <c r="TXF15" s="518"/>
      <c r="TXG15" s="518"/>
      <c r="TXH15" s="518"/>
      <c r="TXI15" s="518"/>
      <c r="TXJ15" s="518"/>
      <c r="TXK15" s="518"/>
      <c r="TXL15" s="518"/>
      <c r="TXM15" s="518"/>
      <c r="TXN15" s="518"/>
      <c r="TXO15" s="518"/>
      <c r="TXP15" s="518"/>
      <c r="TXQ15" s="518"/>
      <c r="TXR15" s="518"/>
      <c r="TXS15" s="518"/>
      <c r="TXT15" s="518"/>
      <c r="TXU15" s="518"/>
      <c r="TXV15" s="518"/>
      <c r="TXW15" s="518"/>
      <c r="TXX15" s="518"/>
      <c r="TXY15" s="518"/>
      <c r="TXZ15" s="518"/>
      <c r="TYA15" s="518"/>
      <c r="TYB15" s="518"/>
      <c r="TYC15" s="518"/>
      <c r="TYD15" s="518"/>
      <c r="TYE15" s="518"/>
      <c r="TYF15" s="518"/>
      <c r="TYG15" s="518"/>
      <c r="TYH15" s="518"/>
      <c r="TYI15" s="518"/>
      <c r="TYJ15" s="518"/>
      <c r="TYK15" s="518"/>
      <c r="TYL15" s="518"/>
      <c r="TYM15" s="518"/>
      <c r="TYN15" s="518"/>
      <c r="TYO15" s="518"/>
      <c r="TYP15" s="518"/>
      <c r="TYQ15" s="518"/>
      <c r="TYR15" s="518"/>
      <c r="TYS15" s="518"/>
      <c r="TYT15" s="518"/>
      <c r="TYU15" s="518"/>
      <c r="TYV15" s="518"/>
      <c r="TYW15" s="518"/>
      <c r="TYX15" s="518"/>
      <c r="TYY15" s="518"/>
      <c r="TYZ15" s="518"/>
      <c r="TZA15" s="518"/>
      <c r="TZB15" s="518"/>
      <c r="TZC15" s="518"/>
      <c r="TZD15" s="518"/>
      <c r="TZE15" s="518"/>
      <c r="TZF15" s="518"/>
      <c r="TZG15" s="518"/>
      <c r="TZH15" s="518"/>
      <c r="TZI15" s="518"/>
      <c r="TZJ15" s="518"/>
      <c r="TZK15" s="518"/>
      <c r="TZL15" s="518"/>
      <c r="TZM15" s="518"/>
      <c r="TZN15" s="518"/>
      <c r="TZO15" s="518"/>
      <c r="TZP15" s="518"/>
      <c r="TZQ15" s="518"/>
      <c r="TZR15" s="518"/>
      <c r="TZS15" s="518"/>
      <c r="TZT15" s="518"/>
      <c r="TZU15" s="518"/>
      <c r="TZV15" s="518"/>
      <c r="TZW15" s="518"/>
      <c r="TZX15" s="518"/>
      <c r="TZY15" s="518"/>
      <c r="TZZ15" s="518"/>
      <c r="UAA15" s="518"/>
      <c r="UAB15" s="518"/>
      <c r="UAC15" s="518"/>
      <c r="UAD15" s="518"/>
      <c r="UAE15" s="518"/>
      <c r="UAF15" s="518"/>
      <c r="UAG15" s="518"/>
      <c r="UAH15" s="518"/>
      <c r="UAI15" s="518"/>
      <c r="UAJ15" s="518"/>
      <c r="UAK15" s="518"/>
      <c r="UAL15" s="518"/>
      <c r="UAM15" s="518"/>
      <c r="UAN15" s="518"/>
      <c r="UAO15" s="518"/>
      <c r="UAP15" s="518"/>
      <c r="UAQ15" s="518"/>
      <c r="UAR15" s="518"/>
      <c r="UAS15" s="518"/>
      <c r="UAT15" s="518"/>
      <c r="UAU15" s="518"/>
      <c r="UAV15" s="518"/>
      <c r="UAW15" s="518"/>
      <c r="UAX15" s="518"/>
      <c r="UAY15" s="518"/>
      <c r="UAZ15" s="518"/>
      <c r="UBA15" s="518"/>
      <c r="UBB15" s="518"/>
      <c r="UBC15" s="518"/>
      <c r="UBD15" s="518"/>
      <c r="UBE15" s="518"/>
      <c r="UBF15" s="518"/>
      <c r="UBG15" s="518"/>
      <c r="UBH15" s="518"/>
      <c r="UBI15" s="518"/>
      <c r="UBJ15" s="518"/>
      <c r="UBK15" s="518"/>
      <c r="UBL15" s="518"/>
      <c r="UBM15" s="518"/>
      <c r="UBN15" s="518"/>
      <c r="UBO15" s="518"/>
      <c r="UBP15" s="518"/>
      <c r="UBQ15" s="518"/>
      <c r="UBR15" s="518"/>
      <c r="UBS15" s="518"/>
      <c r="UBT15" s="518"/>
      <c r="UBU15" s="518"/>
      <c r="UBV15" s="518"/>
      <c r="UBW15" s="518"/>
      <c r="UBX15" s="518"/>
      <c r="UBY15" s="518"/>
      <c r="UBZ15" s="518"/>
      <c r="UCA15" s="518"/>
      <c r="UCB15" s="518"/>
      <c r="UCC15" s="518"/>
      <c r="UCD15" s="518"/>
      <c r="UCE15" s="518"/>
      <c r="UCF15" s="518"/>
      <c r="UCG15" s="518"/>
      <c r="UCH15" s="518"/>
      <c r="UCI15" s="518"/>
      <c r="UCJ15" s="518"/>
      <c r="UCK15" s="518"/>
      <c r="UCL15" s="518"/>
      <c r="UCM15" s="518"/>
      <c r="UCN15" s="518"/>
      <c r="UCO15" s="518"/>
      <c r="UCP15" s="518"/>
      <c r="UCQ15" s="518"/>
      <c r="UCR15" s="518"/>
      <c r="UCS15" s="518"/>
      <c r="UCT15" s="518"/>
      <c r="UCU15" s="518"/>
      <c r="UCV15" s="518"/>
      <c r="UCW15" s="518"/>
      <c r="UCX15" s="518"/>
      <c r="UCY15" s="518"/>
      <c r="UCZ15" s="518"/>
      <c r="UDA15" s="518"/>
      <c r="UDB15" s="518"/>
      <c r="UDC15" s="518"/>
      <c r="UDD15" s="518"/>
      <c r="UDE15" s="518"/>
      <c r="UDF15" s="518"/>
      <c r="UDG15" s="518"/>
      <c r="UDH15" s="518"/>
      <c r="UDI15" s="518"/>
      <c r="UDJ15" s="518"/>
      <c r="UDK15" s="518"/>
      <c r="UDL15" s="518"/>
      <c r="UDM15" s="518"/>
      <c r="UDN15" s="518"/>
      <c r="UDO15" s="518"/>
      <c r="UDP15" s="518"/>
      <c r="UDQ15" s="518"/>
      <c r="UDR15" s="518"/>
      <c r="UDS15" s="518"/>
      <c r="UDT15" s="518"/>
      <c r="UDU15" s="518"/>
      <c r="UDV15" s="518"/>
      <c r="UDW15" s="518"/>
      <c r="UDX15" s="518"/>
      <c r="UDY15" s="518"/>
      <c r="UDZ15" s="518"/>
      <c r="UEA15" s="518"/>
      <c r="UEB15" s="518"/>
      <c r="UEC15" s="518"/>
      <c r="UED15" s="518"/>
      <c r="UEE15" s="518"/>
      <c r="UEF15" s="518"/>
      <c r="UEG15" s="518"/>
      <c r="UEH15" s="518"/>
      <c r="UEI15" s="518"/>
      <c r="UEJ15" s="518"/>
      <c r="UEK15" s="518"/>
      <c r="UEL15" s="518"/>
      <c r="UEM15" s="518"/>
      <c r="UEN15" s="518"/>
      <c r="UEO15" s="518"/>
      <c r="UEP15" s="518"/>
      <c r="UEQ15" s="518"/>
      <c r="UER15" s="518"/>
      <c r="UES15" s="518"/>
      <c r="UET15" s="518"/>
      <c r="UEU15" s="518"/>
      <c r="UEV15" s="518"/>
      <c r="UEW15" s="518"/>
      <c r="UEX15" s="518"/>
      <c r="UEY15" s="518"/>
      <c r="UEZ15" s="518"/>
      <c r="UFA15" s="518"/>
      <c r="UFB15" s="518"/>
      <c r="UFC15" s="518"/>
      <c r="UFD15" s="518"/>
      <c r="UFE15" s="518"/>
      <c r="UFF15" s="518"/>
      <c r="UFG15" s="518"/>
      <c r="UFH15" s="518"/>
      <c r="UFI15" s="518"/>
      <c r="UFJ15" s="518"/>
      <c r="UFK15" s="518"/>
      <c r="UFL15" s="518"/>
      <c r="UFM15" s="518"/>
      <c r="UFN15" s="518"/>
      <c r="UFO15" s="518"/>
      <c r="UFP15" s="518"/>
      <c r="UFQ15" s="518"/>
      <c r="UFR15" s="518"/>
      <c r="UFS15" s="518"/>
      <c r="UFT15" s="518"/>
      <c r="UFU15" s="518"/>
      <c r="UFV15" s="518"/>
      <c r="UFW15" s="518"/>
      <c r="UFX15" s="518"/>
      <c r="UFY15" s="518"/>
      <c r="UFZ15" s="518"/>
      <c r="UGA15" s="518"/>
      <c r="UGB15" s="518"/>
      <c r="UGC15" s="518"/>
      <c r="UGD15" s="518"/>
      <c r="UGE15" s="518"/>
      <c r="UGF15" s="518"/>
      <c r="UGG15" s="518"/>
      <c r="UGH15" s="518"/>
      <c r="UGI15" s="518"/>
      <c r="UGJ15" s="518"/>
      <c r="UGK15" s="518"/>
      <c r="UGL15" s="518"/>
      <c r="UGM15" s="518"/>
      <c r="UGN15" s="518"/>
      <c r="UGO15" s="518"/>
      <c r="UGP15" s="518"/>
      <c r="UGQ15" s="518"/>
      <c r="UGR15" s="518"/>
      <c r="UGS15" s="518"/>
      <c r="UGT15" s="518"/>
      <c r="UGU15" s="518"/>
      <c r="UGV15" s="518"/>
      <c r="UGW15" s="518"/>
      <c r="UGX15" s="518"/>
      <c r="UGY15" s="518"/>
      <c r="UGZ15" s="518"/>
      <c r="UHA15" s="518"/>
      <c r="UHB15" s="518"/>
      <c r="UHC15" s="518"/>
      <c r="UHD15" s="518"/>
      <c r="UHE15" s="518"/>
      <c r="UHF15" s="518"/>
      <c r="UHG15" s="518"/>
      <c r="UHH15" s="518"/>
      <c r="UHI15" s="518"/>
      <c r="UHJ15" s="518"/>
      <c r="UHK15" s="518"/>
      <c r="UHL15" s="518"/>
      <c r="UHM15" s="518"/>
      <c r="UHN15" s="518"/>
      <c r="UHO15" s="518"/>
      <c r="UHP15" s="518"/>
      <c r="UHQ15" s="518"/>
      <c r="UHR15" s="518"/>
      <c r="UHS15" s="518"/>
      <c r="UHT15" s="518"/>
      <c r="UHU15" s="518"/>
      <c r="UHV15" s="518"/>
      <c r="UHW15" s="518"/>
      <c r="UHX15" s="518"/>
      <c r="UHY15" s="518"/>
      <c r="UHZ15" s="518"/>
      <c r="UIA15" s="518"/>
      <c r="UIB15" s="518"/>
      <c r="UIC15" s="518"/>
      <c r="UID15" s="518"/>
      <c r="UIE15" s="518"/>
      <c r="UIF15" s="518"/>
      <c r="UIG15" s="518"/>
      <c r="UIH15" s="518"/>
      <c r="UII15" s="518"/>
      <c r="UIJ15" s="518"/>
      <c r="UIK15" s="518"/>
      <c r="UIL15" s="518"/>
      <c r="UIM15" s="518"/>
      <c r="UIN15" s="518"/>
      <c r="UIO15" s="518"/>
      <c r="UIP15" s="518"/>
      <c r="UIQ15" s="518"/>
      <c r="UIR15" s="518"/>
      <c r="UIS15" s="518"/>
      <c r="UIT15" s="518"/>
      <c r="UIU15" s="518"/>
      <c r="UIV15" s="518"/>
      <c r="UIW15" s="518"/>
      <c r="UIX15" s="518"/>
      <c r="UIY15" s="518"/>
      <c r="UIZ15" s="518"/>
      <c r="UJA15" s="518"/>
      <c r="UJB15" s="518"/>
      <c r="UJC15" s="518"/>
      <c r="UJD15" s="518"/>
      <c r="UJE15" s="518"/>
      <c r="UJF15" s="518"/>
      <c r="UJG15" s="518"/>
      <c r="UJH15" s="518"/>
      <c r="UJI15" s="518"/>
      <c r="UJJ15" s="518"/>
      <c r="UJK15" s="518"/>
      <c r="UJL15" s="518"/>
      <c r="UJM15" s="518"/>
      <c r="UJN15" s="518"/>
      <c r="UJO15" s="518"/>
      <c r="UJP15" s="518"/>
      <c r="UJQ15" s="518"/>
      <c r="UJR15" s="518"/>
      <c r="UJS15" s="518"/>
      <c r="UJT15" s="518"/>
      <c r="UJU15" s="518"/>
      <c r="UJV15" s="518"/>
      <c r="UJW15" s="518"/>
      <c r="UJX15" s="518"/>
      <c r="UJY15" s="518"/>
      <c r="UJZ15" s="518"/>
      <c r="UKA15" s="518"/>
      <c r="UKB15" s="518"/>
      <c r="UKC15" s="518"/>
      <c r="UKD15" s="518"/>
      <c r="UKE15" s="518"/>
      <c r="UKF15" s="518"/>
      <c r="UKG15" s="518"/>
      <c r="UKH15" s="518"/>
      <c r="UKI15" s="518"/>
      <c r="UKJ15" s="518"/>
      <c r="UKK15" s="518"/>
      <c r="UKL15" s="518"/>
      <c r="UKM15" s="518"/>
      <c r="UKN15" s="518"/>
      <c r="UKO15" s="518"/>
      <c r="UKP15" s="518"/>
      <c r="UKQ15" s="518"/>
      <c r="UKR15" s="518"/>
      <c r="UKS15" s="518"/>
      <c r="UKT15" s="518"/>
      <c r="UKU15" s="518"/>
      <c r="UKV15" s="518"/>
      <c r="UKW15" s="518"/>
      <c r="UKX15" s="518"/>
      <c r="UKY15" s="518"/>
      <c r="UKZ15" s="518"/>
      <c r="ULA15" s="518"/>
      <c r="ULB15" s="518"/>
      <c r="ULC15" s="518"/>
      <c r="ULD15" s="518"/>
      <c r="ULE15" s="518"/>
      <c r="ULF15" s="518"/>
      <c r="ULG15" s="518"/>
      <c r="ULH15" s="518"/>
      <c r="ULI15" s="518"/>
      <c r="ULJ15" s="518"/>
      <c r="ULK15" s="518"/>
      <c r="ULL15" s="518"/>
      <c r="ULM15" s="518"/>
      <c r="ULN15" s="518"/>
      <c r="ULO15" s="518"/>
      <c r="ULP15" s="518"/>
      <c r="ULQ15" s="518"/>
      <c r="ULR15" s="518"/>
      <c r="ULS15" s="518"/>
      <c r="ULT15" s="518"/>
      <c r="ULU15" s="518"/>
      <c r="ULV15" s="518"/>
      <c r="ULW15" s="518"/>
      <c r="ULX15" s="518"/>
      <c r="ULY15" s="518"/>
      <c r="ULZ15" s="518"/>
      <c r="UMA15" s="518"/>
      <c r="UMB15" s="518"/>
      <c r="UMC15" s="518"/>
      <c r="UMD15" s="518"/>
      <c r="UME15" s="518"/>
      <c r="UMF15" s="518"/>
      <c r="UMG15" s="518"/>
      <c r="UMH15" s="518"/>
      <c r="UMI15" s="518"/>
      <c r="UMJ15" s="518"/>
      <c r="UMK15" s="518"/>
      <c r="UML15" s="518"/>
      <c r="UMM15" s="518"/>
      <c r="UMN15" s="518"/>
      <c r="UMO15" s="518"/>
      <c r="UMP15" s="518"/>
      <c r="UMQ15" s="518"/>
      <c r="UMR15" s="518"/>
      <c r="UMS15" s="518"/>
      <c r="UMT15" s="518"/>
      <c r="UMU15" s="518"/>
      <c r="UMV15" s="518"/>
      <c r="UMW15" s="518"/>
      <c r="UMX15" s="518"/>
      <c r="UMY15" s="518"/>
      <c r="UMZ15" s="518"/>
      <c r="UNA15" s="518"/>
      <c r="UNB15" s="518"/>
      <c r="UNC15" s="518"/>
      <c r="UND15" s="518"/>
      <c r="UNE15" s="518"/>
      <c r="UNF15" s="518"/>
      <c r="UNG15" s="518"/>
      <c r="UNH15" s="518"/>
      <c r="UNI15" s="518"/>
      <c r="UNJ15" s="518"/>
      <c r="UNK15" s="518"/>
      <c r="UNL15" s="518"/>
      <c r="UNM15" s="518"/>
      <c r="UNN15" s="518"/>
      <c r="UNO15" s="518"/>
      <c r="UNP15" s="518"/>
      <c r="UNQ15" s="518"/>
      <c r="UNR15" s="518"/>
      <c r="UNS15" s="518"/>
      <c r="UNT15" s="518"/>
      <c r="UNU15" s="518"/>
      <c r="UNV15" s="518"/>
      <c r="UNW15" s="518"/>
      <c r="UNX15" s="518"/>
      <c r="UNY15" s="518"/>
      <c r="UNZ15" s="518"/>
      <c r="UOA15" s="518"/>
      <c r="UOB15" s="518"/>
      <c r="UOC15" s="518"/>
      <c r="UOD15" s="518"/>
      <c r="UOE15" s="518"/>
      <c r="UOF15" s="518"/>
      <c r="UOG15" s="518"/>
      <c r="UOH15" s="518"/>
      <c r="UOI15" s="518"/>
      <c r="UOJ15" s="518"/>
      <c r="UOK15" s="518"/>
      <c r="UOL15" s="518"/>
      <c r="UOM15" s="518"/>
      <c r="UON15" s="518"/>
      <c r="UOO15" s="518"/>
      <c r="UOP15" s="518"/>
      <c r="UOQ15" s="518"/>
      <c r="UOR15" s="518"/>
      <c r="UOS15" s="518"/>
      <c r="UOT15" s="518"/>
      <c r="UOU15" s="518"/>
      <c r="UOV15" s="518"/>
      <c r="UOW15" s="518"/>
      <c r="UOX15" s="518"/>
      <c r="UOY15" s="518"/>
      <c r="UOZ15" s="518"/>
      <c r="UPA15" s="518"/>
      <c r="UPB15" s="518"/>
      <c r="UPC15" s="518"/>
      <c r="UPD15" s="518"/>
      <c r="UPE15" s="518"/>
      <c r="UPF15" s="518"/>
      <c r="UPG15" s="518"/>
      <c r="UPH15" s="518"/>
      <c r="UPI15" s="518"/>
      <c r="UPJ15" s="518"/>
      <c r="UPK15" s="518"/>
      <c r="UPL15" s="518"/>
      <c r="UPM15" s="518"/>
      <c r="UPN15" s="518"/>
      <c r="UPO15" s="518"/>
      <c r="UPP15" s="518"/>
      <c r="UPQ15" s="518"/>
      <c r="UPR15" s="518"/>
      <c r="UPS15" s="518"/>
      <c r="UPT15" s="518"/>
      <c r="UPU15" s="518"/>
      <c r="UPV15" s="518"/>
      <c r="UPW15" s="518"/>
      <c r="UPX15" s="518"/>
      <c r="UPY15" s="518"/>
      <c r="UPZ15" s="518"/>
      <c r="UQA15" s="518"/>
      <c r="UQB15" s="518"/>
      <c r="UQC15" s="518"/>
      <c r="UQD15" s="518"/>
      <c r="UQE15" s="518"/>
      <c r="UQF15" s="518"/>
      <c r="UQG15" s="518"/>
      <c r="UQH15" s="518"/>
      <c r="UQI15" s="518"/>
      <c r="UQJ15" s="518"/>
      <c r="UQK15" s="518"/>
      <c r="UQL15" s="518"/>
      <c r="UQM15" s="518"/>
      <c r="UQN15" s="518"/>
      <c r="UQO15" s="518"/>
      <c r="UQP15" s="518"/>
      <c r="UQQ15" s="518"/>
      <c r="UQR15" s="518"/>
      <c r="UQS15" s="518"/>
      <c r="UQT15" s="518"/>
      <c r="UQU15" s="518"/>
      <c r="UQV15" s="518"/>
      <c r="UQW15" s="518"/>
      <c r="UQX15" s="518"/>
      <c r="UQY15" s="518"/>
      <c r="UQZ15" s="518"/>
      <c r="URA15" s="518"/>
      <c r="URB15" s="518"/>
      <c r="URC15" s="518"/>
      <c r="URD15" s="518"/>
      <c r="URE15" s="518"/>
      <c r="URF15" s="518"/>
      <c r="URG15" s="518"/>
      <c r="URH15" s="518"/>
      <c r="URI15" s="518"/>
      <c r="URJ15" s="518"/>
      <c r="URK15" s="518"/>
      <c r="URL15" s="518"/>
      <c r="URM15" s="518"/>
      <c r="URN15" s="518"/>
      <c r="URO15" s="518"/>
      <c r="URP15" s="518"/>
      <c r="URQ15" s="518"/>
      <c r="URR15" s="518"/>
      <c r="URS15" s="518"/>
      <c r="URT15" s="518"/>
      <c r="URU15" s="518"/>
      <c r="URV15" s="518"/>
      <c r="URW15" s="518"/>
      <c r="URX15" s="518"/>
      <c r="URY15" s="518"/>
      <c r="URZ15" s="518"/>
      <c r="USA15" s="518"/>
      <c r="USB15" s="518"/>
      <c r="USC15" s="518"/>
      <c r="USD15" s="518"/>
      <c r="USE15" s="518"/>
      <c r="USF15" s="518"/>
      <c r="USG15" s="518"/>
      <c r="USH15" s="518"/>
      <c r="USI15" s="518"/>
      <c r="USJ15" s="518"/>
      <c r="USK15" s="518"/>
      <c r="USL15" s="518"/>
      <c r="USM15" s="518"/>
      <c r="USN15" s="518"/>
      <c r="USO15" s="518"/>
      <c r="USP15" s="518"/>
      <c r="USQ15" s="518"/>
      <c r="USR15" s="518"/>
      <c r="USS15" s="518"/>
      <c r="UST15" s="518"/>
      <c r="USU15" s="518"/>
      <c r="USV15" s="518"/>
      <c r="USW15" s="518"/>
      <c r="USX15" s="518"/>
      <c r="USY15" s="518"/>
      <c r="USZ15" s="518"/>
      <c r="UTA15" s="518"/>
      <c r="UTB15" s="518"/>
      <c r="UTC15" s="518"/>
      <c r="UTD15" s="518"/>
      <c r="UTE15" s="518"/>
      <c r="UTF15" s="518"/>
      <c r="UTG15" s="518"/>
      <c r="UTH15" s="518"/>
      <c r="UTI15" s="518"/>
      <c r="UTJ15" s="518"/>
      <c r="UTK15" s="518"/>
      <c r="UTL15" s="518"/>
      <c r="UTM15" s="518"/>
      <c r="UTN15" s="518"/>
      <c r="UTO15" s="518"/>
      <c r="UTP15" s="518"/>
      <c r="UTQ15" s="518"/>
      <c r="UTR15" s="518"/>
      <c r="UTS15" s="518"/>
      <c r="UTT15" s="518"/>
      <c r="UTU15" s="518"/>
      <c r="UTV15" s="518"/>
      <c r="UTW15" s="518"/>
      <c r="UTX15" s="518"/>
      <c r="UTY15" s="518"/>
      <c r="UTZ15" s="518"/>
      <c r="UUA15" s="518"/>
      <c r="UUB15" s="518"/>
      <c r="UUC15" s="518"/>
      <c r="UUD15" s="518"/>
      <c r="UUE15" s="518"/>
      <c r="UUF15" s="518"/>
      <c r="UUG15" s="518"/>
      <c r="UUH15" s="518"/>
      <c r="UUI15" s="518"/>
      <c r="UUJ15" s="518"/>
      <c r="UUK15" s="518"/>
      <c r="UUL15" s="518"/>
      <c r="UUM15" s="518"/>
      <c r="UUN15" s="518"/>
      <c r="UUO15" s="518"/>
      <c r="UUP15" s="518"/>
      <c r="UUQ15" s="518"/>
      <c r="UUR15" s="518"/>
      <c r="UUS15" s="518"/>
      <c r="UUT15" s="518"/>
      <c r="UUU15" s="518"/>
      <c r="UUV15" s="518"/>
      <c r="UUW15" s="518"/>
      <c r="UUX15" s="518"/>
      <c r="UUY15" s="518"/>
      <c r="UUZ15" s="518"/>
      <c r="UVA15" s="518"/>
      <c r="UVB15" s="518"/>
      <c r="UVC15" s="518"/>
      <c r="UVD15" s="518"/>
      <c r="UVE15" s="518"/>
      <c r="UVF15" s="518"/>
      <c r="UVG15" s="518"/>
      <c r="UVH15" s="518"/>
      <c r="UVI15" s="518"/>
      <c r="UVJ15" s="518"/>
      <c r="UVK15" s="518"/>
      <c r="UVL15" s="518"/>
      <c r="UVM15" s="518"/>
      <c r="UVN15" s="518"/>
      <c r="UVO15" s="518"/>
      <c r="UVP15" s="518"/>
      <c r="UVQ15" s="518"/>
      <c r="UVR15" s="518"/>
      <c r="UVS15" s="518"/>
      <c r="UVT15" s="518"/>
      <c r="UVU15" s="518"/>
      <c r="UVV15" s="518"/>
      <c r="UVW15" s="518"/>
      <c r="UVX15" s="518"/>
      <c r="UVY15" s="518"/>
      <c r="UVZ15" s="518"/>
      <c r="UWA15" s="518"/>
      <c r="UWB15" s="518"/>
      <c r="UWC15" s="518"/>
      <c r="UWD15" s="518"/>
      <c r="UWE15" s="518"/>
      <c r="UWF15" s="518"/>
      <c r="UWG15" s="518"/>
      <c r="UWH15" s="518"/>
      <c r="UWI15" s="518"/>
      <c r="UWJ15" s="518"/>
      <c r="UWK15" s="518"/>
      <c r="UWL15" s="518"/>
      <c r="UWM15" s="518"/>
      <c r="UWN15" s="518"/>
      <c r="UWO15" s="518"/>
      <c r="UWP15" s="518"/>
      <c r="UWQ15" s="518"/>
      <c r="UWR15" s="518"/>
      <c r="UWS15" s="518"/>
      <c r="UWT15" s="518"/>
      <c r="UWU15" s="518"/>
      <c r="UWV15" s="518"/>
      <c r="UWW15" s="518"/>
      <c r="UWX15" s="518"/>
      <c r="UWY15" s="518"/>
      <c r="UWZ15" s="518"/>
      <c r="UXA15" s="518"/>
      <c r="UXB15" s="518"/>
      <c r="UXC15" s="518"/>
      <c r="UXD15" s="518"/>
      <c r="UXE15" s="518"/>
      <c r="UXF15" s="518"/>
      <c r="UXG15" s="518"/>
      <c r="UXH15" s="518"/>
      <c r="UXI15" s="518"/>
      <c r="UXJ15" s="518"/>
      <c r="UXK15" s="518"/>
      <c r="UXL15" s="518"/>
      <c r="UXM15" s="518"/>
      <c r="UXN15" s="518"/>
      <c r="UXO15" s="518"/>
      <c r="UXP15" s="518"/>
      <c r="UXQ15" s="518"/>
      <c r="UXR15" s="518"/>
      <c r="UXS15" s="518"/>
      <c r="UXT15" s="518"/>
      <c r="UXU15" s="518"/>
      <c r="UXV15" s="518"/>
      <c r="UXW15" s="518"/>
      <c r="UXX15" s="518"/>
      <c r="UXY15" s="518"/>
      <c r="UXZ15" s="518"/>
      <c r="UYA15" s="518"/>
      <c r="UYB15" s="518"/>
      <c r="UYC15" s="518"/>
      <c r="UYD15" s="518"/>
      <c r="UYE15" s="518"/>
      <c r="UYF15" s="518"/>
      <c r="UYG15" s="518"/>
      <c r="UYH15" s="518"/>
      <c r="UYI15" s="518"/>
      <c r="UYJ15" s="518"/>
      <c r="UYK15" s="518"/>
      <c r="UYL15" s="518"/>
      <c r="UYM15" s="518"/>
      <c r="UYN15" s="518"/>
      <c r="UYO15" s="518"/>
      <c r="UYP15" s="518"/>
      <c r="UYQ15" s="518"/>
      <c r="UYR15" s="518"/>
      <c r="UYS15" s="518"/>
      <c r="UYT15" s="518"/>
      <c r="UYU15" s="518"/>
      <c r="UYV15" s="518"/>
      <c r="UYW15" s="518"/>
      <c r="UYX15" s="518"/>
      <c r="UYY15" s="518"/>
      <c r="UYZ15" s="518"/>
      <c r="UZA15" s="518"/>
      <c r="UZB15" s="518"/>
      <c r="UZC15" s="518"/>
      <c r="UZD15" s="518"/>
      <c r="UZE15" s="518"/>
      <c r="UZF15" s="518"/>
      <c r="UZG15" s="518"/>
      <c r="UZH15" s="518"/>
      <c r="UZI15" s="518"/>
      <c r="UZJ15" s="518"/>
      <c r="UZK15" s="518"/>
      <c r="UZL15" s="518"/>
      <c r="UZM15" s="518"/>
      <c r="UZN15" s="518"/>
      <c r="UZO15" s="518"/>
      <c r="UZP15" s="518"/>
      <c r="UZQ15" s="518"/>
      <c r="UZR15" s="518"/>
      <c r="UZS15" s="518"/>
      <c r="UZT15" s="518"/>
      <c r="UZU15" s="518"/>
      <c r="UZV15" s="518"/>
      <c r="UZW15" s="518"/>
      <c r="UZX15" s="518"/>
      <c r="UZY15" s="518"/>
      <c r="UZZ15" s="518"/>
      <c r="VAA15" s="518"/>
      <c r="VAB15" s="518"/>
      <c r="VAC15" s="518"/>
      <c r="VAD15" s="518"/>
      <c r="VAE15" s="518"/>
      <c r="VAF15" s="518"/>
      <c r="VAG15" s="518"/>
      <c r="VAH15" s="518"/>
      <c r="VAI15" s="518"/>
      <c r="VAJ15" s="518"/>
      <c r="VAK15" s="518"/>
      <c r="VAL15" s="518"/>
      <c r="VAM15" s="518"/>
      <c r="VAN15" s="518"/>
      <c r="VAO15" s="518"/>
      <c r="VAP15" s="518"/>
      <c r="VAQ15" s="518"/>
      <c r="VAR15" s="518"/>
      <c r="VAS15" s="518"/>
      <c r="VAT15" s="518"/>
      <c r="VAU15" s="518"/>
      <c r="VAV15" s="518"/>
      <c r="VAW15" s="518"/>
      <c r="VAX15" s="518"/>
      <c r="VAY15" s="518"/>
      <c r="VAZ15" s="518"/>
      <c r="VBA15" s="518"/>
      <c r="VBB15" s="518"/>
      <c r="VBC15" s="518"/>
      <c r="VBD15" s="518"/>
      <c r="VBE15" s="518"/>
      <c r="VBF15" s="518"/>
      <c r="VBG15" s="518"/>
      <c r="VBH15" s="518"/>
      <c r="VBI15" s="518"/>
      <c r="VBJ15" s="518"/>
      <c r="VBK15" s="518"/>
      <c r="VBL15" s="518"/>
      <c r="VBM15" s="518"/>
      <c r="VBN15" s="518"/>
      <c r="VBO15" s="518"/>
      <c r="VBP15" s="518"/>
      <c r="VBQ15" s="518"/>
      <c r="VBR15" s="518"/>
      <c r="VBS15" s="518"/>
      <c r="VBT15" s="518"/>
      <c r="VBU15" s="518"/>
      <c r="VBV15" s="518"/>
      <c r="VBW15" s="518"/>
      <c r="VBX15" s="518"/>
      <c r="VBY15" s="518"/>
      <c r="VBZ15" s="518"/>
      <c r="VCA15" s="518"/>
      <c r="VCB15" s="518"/>
      <c r="VCC15" s="518"/>
      <c r="VCD15" s="518"/>
      <c r="VCE15" s="518"/>
      <c r="VCF15" s="518"/>
      <c r="VCG15" s="518"/>
      <c r="VCH15" s="518"/>
      <c r="VCI15" s="518"/>
      <c r="VCJ15" s="518"/>
      <c r="VCK15" s="518"/>
      <c r="VCL15" s="518"/>
      <c r="VCM15" s="518"/>
      <c r="VCN15" s="518"/>
      <c r="VCO15" s="518"/>
      <c r="VCP15" s="518"/>
      <c r="VCQ15" s="518"/>
      <c r="VCR15" s="518"/>
      <c r="VCS15" s="518"/>
      <c r="VCT15" s="518"/>
      <c r="VCU15" s="518"/>
      <c r="VCV15" s="518"/>
      <c r="VCW15" s="518"/>
      <c r="VCX15" s="518"/>
      <c r="VCY15" s="518"/>
      <c r="VCZ15" s="518"/>
      <c r="VDA15" s="518"/>
      <c r="VDB15" s="518"/>
      <c r="VDC15" s="518"/>
      <c r="VDD15" s="518"/>
      <c r="VDE15" s="518"/>
      <c r="VDF15" s="518"/>
      <c r="VDG15" s="518"/>
      <c r="VDH15" s="518"/>
      <c r="VDI15" s="518"/>
      <c r="VDJ15" s="518"/>
      <c r="VDK15" s="518"/>
      <c r="VDL15" s="518"/>
      <c r="VDM15" s="518"/>
      <c r="VDN15" s="518"/>
      <c r="VDO15" s="518"/>
      <c r="VDP15" s="518"/>
      <c r="VDQ15" s="518"/>
      <c r="VDR15" s="518"/>
      <c r="VDS15" s="518"/>
      <c r="VDT15" s="518"/>
      <c r="VDU15" s="518"/>
      <c r="VDV15" s="518"/>
      <c r="VDW15" s="518"/>
      <c r="VDX15" s="518"/>
      <c r="VDY15" s="518"/>
      <c r="VDZ15" s="518"/>
      <c r="VEA15" s="518"/>
      <c r="VEB15" s="518"/>
      <c r="VEC15" s="518"/>
      <c r="VED15" s="518"/>
      <c r="VEE15" s="518"/>
      <c r="VEF15" s="518"/>
      <c r="VEG15" s="518"/>
      <c r="VEH15" s="518"/>
      <c r="VEI15" s="518"/>
      <c r="VEJ15" s="518"/>
      <c r="VEK15" s="518"/>
      <c r="VEL15" s="518"/>
      <c r="VEM15" s="518"/>
      <c r="VEN15" s="518"/>
      <c r="VEO15" s="518"/>
      <c r="VEP15" s="518"/>
      <c r="VEQ15" s="518"/>
      <c r="VER15" s="518"/>
      <c r="VES15" s="518"/>
      <c r="VET15" s="518"/>
      <c r="VEU15" s="518"/>
      <c r="VEV15" s="518"/>
      <c r="VEW15" s="518"/>
      <c r="VEX15" s="518"/>
      <c r="VEY15" s="518"/>
      <c r="VEZ15" s="518"/>
      <c r="VFA15" s="518"/>
      <c r="VFB15" s="518"/>
      <c r="VFC15" s="518"/>
      <c r="VFD15" s="518"/>
      <c r="VFE15" s="518"/>
      <c r="VFF15" s="518"/>
      <c r="VFG15" s="518"/>
      <c r="VFH15" s="518"/>
      <c r="VFI15" s="518"/>
      <c r="VFJ15" s="518"/>
      <c r="VFK15" s="518"/>
      <c r="VFL15" s="518"/>
      <c r="VFM15" s="518"/>
      <c r="VFN15" s="518"/>
      <c r="VFO15" s="518"/>
      <c r="VFP15" s="518"/>
      <c r="VFQ15" s="518"/>
      <c r="VFR15" s="518"/>
      <c r="VFS15" s="518"/>
      <c r="VFT15" s="518"/>
      <c r="VFU15" s="518"/>
      <c r="VFV15" s="518"/>
      <c r="VFW15" s="518"/>
      <c r="VFX15" s="518"/>
      <c r="VFY15" s="518"/>
      <c r="VFZ15" s="518"/>
      <c r="VGA15" s="518"/>
      <c r="VGB15" s="518"/>
      <c r="VGC15" s="518"/>
      <c r="VGD15" s="518"/>
      <c r="VGE15" s="518"/>
      <c r="VGF15" s="518"/>
      <c r="VGG15" s="518"/>
      <c r="VGH15" s="518"/>
      <c r="VGI15" s="518"/>
      <c r="VGJ15" s="518"/>
      <c r="VGK15" s="518"/>
      <c r="VGL15" s="518"/>
      <c r="VGM15" s="518"/>
      <c r="VGN15" s="518"/>
      <c r="VGO15" s="518"/>
      <c r="VGP15" s="518"/>
      <c r="VGQ15" s="518"/>
      <c r="VGR15" s="518"/>
      <c r="VGS15" s="518"/>
      <c r="VGT15" s="518"/>
      <c r="VGU15" s="518"/>
      <c r="VGV15" s="518"/>
      <c r="VGW15" s="518"/>
      <c r="VGX15" s="518"/>
      <c r="VGY15" s="518"/>
      <c r="VGZ15" s="518"/>
      <c r="VHA15" s="518"/>
      <c r="VHB15" s="518"/>
      <c r="VHC15" s="518"/>
      <c r="VHD15" s="518"/>
      <c r="VHE15" s="518"/>
      <c r="VHF15" s="518"/>
      <c r="VHG15" s="518"/>
      <c r="VHH15" s="518"/>
      <c r="VHI15" s="518"/>
      <c r="VHJ15" s="518"/>
      <c r="VHK15" s="518"/>
      <c r="VHL15" s="518"/>
      <c r="VHM15" s="518"/>
      <c r="VHN15" s="518"/>
      <c r="VHO15" s="518"/>
      <c r="VHP15" s="518"/>
      <c r="VHQ15" s="518"/>
      <c r="VHR15" s="518"/>
      <c r="VHS15" s="518"/>
      <c r="VHT15" s="518"/>
      <c r="VHU15" s="518"/>
      <c r="VHV15" s="518"/>
      <c r="VHW15" s="518"/>
      <c r="VHX15" s="518"/>
      <c r="VHY15" s="518"/>
      <c r="VHZ15" s="518"/>
      <c r="VIA15" s="518"/>
      <c r="VIB15" s="518"/>
      <c r="VIC15" s="518"/>
      <c r="VID15" s="518"/>
      <c r="VIE15" s="518"/>
      <c r="VIF15" s="518"/>
      <c r="VIG15" s="518"/>
      <c r="VIH15" s="518"/>
      <c r="VII15" s="518"/>
      <c r="VIJ15" s="518"/>
      <c r="VIK15" s="518"/>
      <c r="VIL15" s="518"/>
      <c r="VIM15" s="518"/>
      <c r="VIN15" s="518"/>
      <c r="VIO15" s="518"/>
      <c r="VIP15" s="518"/>
      <c r="VIQ15" s="518"/>
      <c r="VIR15" s="518"/>
      <c r="VIS15" s="518"/>
      <c r="VIT15" s="518"/>
      <c r="VIU15" s="518"/>
      <c r="VIV15" s="518"/>
      <c r="VIW15" s="518"/>
      <c r="VIX15" s="518"/>
      <c r="VIY15" s="518"/>
      <c r="VIZ15" s="518"/>
      <c r="VJA15" s="518"/>
      <c r="VJB15" s="518"/>
      <c r="VJC15" s="518"/>
      <c r="VJD15" s="518"/>
      <c r="VJE15" s="518"/>
      <c r="VJF15" s="518"/>
      <c r="VJG15" s="518"/>
      <c r="VJH15" s="518"/>
      <c r="VJI15" s="518"/>
      <c r="VJJ15" s="518"/>
      <c r="VJK15" s="518"/>
      <c r="VJL15" s="518"/>
      <c r="VJM15" s="518"/>
      <c r="VJN15" s="518"/>
      <c r="VJO15" s="518"/>
      <c r="VJP15" s="518"/>
      <c r="VJQ15" s="518"/>
      <c r="VJR15" s="518"/>
      <c r="VJS15" s="518"/>
      <c r="VJT15" s="518"/>
      <c r="VJU15" s="518"/>
      <c r="VJV15" s="518"/>
      <c r="VJW15" s="518"/>
      <c r="VJX15" s="518"/>
      <c r="VJY15" s="518"/>
      <c r="VJZ15" s="518"/>
      <c r="VKA15" s="518"/>
      <c r="VKB15" s="518"/>
      <c r="VKC15" s="518"/>
      <c r="VKD15" s="518"/>
      <c r="VKE15" s="518"/>
      <c r="VKF15" s="518"/>
      <c r="VKG15" s="518"/>
      <c r="VKH15" s="518"/>
      <c r="VKI15" s="518"/>
      <c r="VKJ15" s="518"/>
      <c r="VKK15" s="518"/>
      <c r="VKL15" s="518"/>
      <c r="VKM15" s="518"/>
      <c r="VKN15" s="518"/>
      <c r="VKO15" s="518"/>
      <c r="VKP15" s="518"/>
      <c r="VKQ15" s="518"/>
      <c r="VKR15" s="518"/>
      <c r="VKS15" s="518"/>
      <c r="VKT15" s="518"/>
      <c r="VKU15" s="518"/>
      <c r="VKV15" s="518"/>
      <c r="VKW15" s="518"/>
      <c r="VKX15" s="518"/>
      <c r="VKY15" s="518"/>
      <c r="VKZ15" s="518"/>
      <c r="VLA15" s="518"/>
      <c r="VLB15" s="518"/>
      <c r="VLC15" s="518"/>
      <c r="VLD15" s="518"/>
      <c r="VLE15" s="518"/>
      <c r="VLF15" s="518"/>
      <c r="VLG15" s="518"/>
      <c r="VLH15" s="518"/>
      <c r="VLI15" s="518"/>
      <c r="VLJ15" s="518"/>
      <c r="VLK15" s="518"/>
      <c r="VLL15" s="518"/>
      <c r="VLM15" s="518"/>
      <c r="VLN15" s="518"/>
      <c r="VLO15" s="518"/>
      <c r="VLP15" s="518"/>
      <c r="VLQ15" s="518"/>
      <c r="VLR15" s="518"/>
      <c r="VLS15" s="518"/>
      <c r="VLT15" s="518"/>
      <c r="VLU15" s="518"/>
      <c r="VLV15" s="518"/>
      <c r="VLW15" s="518"/>
      <c r="VLX15" s="518"/>
      <c r="VLY15" s="518"/>
      <c r="VLZ15" s="518"/>
      <c r="VMA15" s="518"/>
      <c r="VMB15" s="518"/>
      <c r="VMC15" s="518"/>
      <c r="VMD15" s="518"/>
      <c r="VME15" s="518"/>
      <c r="VMF15" s="518"/>
      <c r="VMG15" s="518"/>
      <c r="VMH15" s="518"/>
      <c r="VMI15" s="518"/>
      <c r="VMJ15" s="518"/>
      <c r="VMK15" s="518"/>
      <c r="VML15" s="518"/>
      <c r="VMM15" s="518"/>
      <c r="VMN15" s="518"/>
      <c r="VMO15" s="518"/>
      <c r="VMP15" s="518"/>
      <c r="VMQ15" s="518"/>
      <c r="VMR15" s="518"/>
      <c r="VMS15" s="518"/>
      <c r="VMT15" s="518"/>
      <c r="VMU15" s="518"/>
      <c r="VMV15" s="518"/>
      <c r="VMW15" s="518"/>
      <c r="VMX15" s="518"/>
      <c r="VMY15" s="518"/>
      <c r="VMZ15" s="518"/>
      <c r="VNA15" s="518"/>
      <c r="VNB15" s="518"/>
      <c r="VNC15" s="518"/>
      <c r="VND15" s="518"/>
      <c r="VNE15" s="518"/>
      <c r="VNF15" s="518"/>
      <c r="VNG15" s="518"/>
      <c r="VNH15" s="518"/>
      <c r="VNI15" s="518"/>
      <c r="VNJ15" s="518"/>
      <c r="VNK15" s="518"/>
      <c r="VNL15" s="518"/>
      <c r="VNM15" s="518"/>
      <c r="VNN15" s="518"/>
      <c r="VNO15" s="518"/>
      <c r="VNP15" s="518"/>
      <c r="VNQ15" s="518"/>
      <c r="VNR15" s="518"/>
      <c r="VNS15" s="518"/>
      <c r="VNT15" s="518"/>
      <c r="VNU15" s="518"/>
      <c r="VNV15" s="518"/>
      <c r="VNW15" s="518"/>
      <c r="VNX15" s="518"/>
      <c r="VNY15" s="518"/>
      <c r="VNZ15" s="518"/>
      <c r="VOA15" s="518"/>
      <c r="VOB15" s="518"/>
      <c r="VOC15" s="518"/>
      <c r="VOD15" s="518"/>
      <c r="VOE15" s="518"/>
      <c r="VOF15" s="518"/>
      <c r="VOG15" s="518"/>
      <c r="VOH15" s="518"/>
      <c r="VOI15" s="518"/>
      <c r="VOJ15" s="518"/>
      <c r="VOK15" s="518"/>
      <c r="VOL15" s="518"/>
      <c r="VOM15" s="518"/>
      <c r="VON15" s="518"/>
      <c r="VOO15" s="518"/>
      <c r="VOP15" s="518"/>
      <c r="VOQ15" s="518"/>
      <c r="VOR15" s="518"/>
      <c r="VOS15" s="518"/>
      <c r="VOT15" s="518"/>
      <c r="VOU15" s="518"/>
      <c r="VOV15" s="518"/>
      <c r="VOW15" s="518"/>
      <c r="VOX15" s="518"/>
      <c r="VOY15" s="518"/>
      <c r="VOZ15" s="518"/>
      <c r="VPA15" s="518"/>
      <c r="VPB15" s="518"/>
      <c r="VPC15" s="518"/>
      <c r="VPD15" s="518"/>
      <c r="VPE15" s="518"/>
      <c r="VPF15" s="518"/>
      <c r="VPG15" s="518"/>
      <c r="VPH15" s="518"/>
      <c r="VPI15" s="518"/>
      <c r="VPJ15" s="518"/>
      <c r="VPK15" s="518"/>
      <c r="VPL15" s="518"/>
      <c r="VPM15" s="518"/>
      <c r="VPN15" s="518"/>
      <c r="VPO15" s="518"/>
      <c r="VPP15" s="518"/>
      <c r="VPQ15" s="518"/>
      <c r="VPR15" s="518"/>
      <c r="VPS15" s="518"/>
      <c r="VPT15" s="518"/>
      <c r="VPU15" s="518"/>
      <c r="VPV15" s="518"/>
      <c r="VPW15" s="518"/>
      <c r="VPX15" s="518"/>
      <c r="VPY15" s="518"/>
      <c r="VPZ15" s="518"/>
      <c r="VQA15" s="518"/>
      <c r="VQB15" s="518"/>
      <c r="VQC15" s="518"/>
      <c r="VQD15" s="518"/>
      <c r="VQE15" s="518"/>
      <c r="VQF15" s="518"/>
      <c r="VQG15" s="518"/>
      <c r="VQH15" s="518"/>
      <c r="VQI15" s="518"/>
      <c r="VQJ15" s="518"/>
      <c r="VQK15" s="518"/>
      <c r="VQL15" s="518"/>
      <c r="VQM15" s="518"/>
      <c r="VQN15" s="518"/>
      <c r="VQO15" s="518"/>
      <c r="VQP15" s="518"/>
      <c r="VQQ15" s="518"/>
      <c r="VQR15" s="518"/>
      <c r="VQS15" s="518"/>
      <c r="VQT15" s="518"/>
      <c r="VQU15" s="518"/>
      <c r="VQV15" s="518"/>
      <c r="VQW15" s="518"/>
      <c r="VQX15" s="518"/>
      <c r="VQY15" s="518"/>
      <c r="VQZ15" s="518"/>
      <c r="VRA15" s="518"/>
      <c r="VRB15" s="518"/>
      <c r="VRC15" s="518"/>
      <c r="VRD15" s="518"/>
      <c r="VRE15" s="518"/>
      <c r="VRF15" s="518"/>
      <c r="VRG15" s="518"/>
      <c r="VRH15" s="518"/>
      <c r="VRI15" s="518"/>
      <c r="VRJ15" s="518"/>
      <c r="VRK15" s="518"/>
      <c r="VRL15" s="518"/>
      <c r="VRM15" s="518"/>
      <c r="VRN15" s="518"/>
      <c r="VRO15" s="518"/>
      <c r="VRP15" s="518"/>
      <c r="VRQ15" s="518"/>
      <c r="VRR15" s="518"/>
      <c r="VRS15" s="518"/>
      <c r="VRT15" s="518"/>
      <c r="VRU15" s="518"/>
      <c r="VRV15" s="518"/>
      <c r="VRW15" s="518"/>
      <c r="VRX15" s="518"/>
      <c r="VRY15" s="518"/>
      <c r="VRZ15" s="518"/>
      <c r="VSA15" s="518"/>
      <c r="VSB15" s="518"/>
      <c r="VSC15" s="518"/>
      <c r="VSD15" s="518"/>
      <c r="VSE15" s="518"/>
      <c r="VSF15" s="518"/>
      <c r="VSG15" s="518"/>
      <c r="VSH15" s="518"/>
      <c r="VSI15" s="518"/>
      <c r="VSJ15" s="518"/>
      <c r="VSK15" s="518"/>
      <c r="VSL15" s="518"/>
      <c r="VSM15" s="518"/>
      <c r="VSN15" s="518"/>
      <c r="VSO15" s="518"/>
      <c r="VSP15" s="518"/>
      <c r="VSQ15" s="518"/>
      <c r="VSR15" s="518"/>
      <c r="VSS15" s="518"/>
      <c r="VST15" s="518"/>
      <c r="VSU15" s="518"/>
      <c r="VSV15" s="518"/>
      <c r="VSW15" s="518"/>
      <c r="VSX15" s="518"/>
      <c r="VSY15" s="518"/>
      <c r="VSZ15" s="518"/>
      <c r="VTA15" s="518"/>
      <c r="VTB15" s="518"/>
      <c r="VTC15" s="518"/>
      <c r="VTD15" s="518"/>
      <c r="VTE15" s="518"/>
      <c r="VTF15" s="518"/>
      <c r="VTG15" s="518"/>
      <c r="VTH15" s="518"/>
      <c r="VTI15" s="518"/>
      <c r="VTJ15" s="518"/>
      <c r="VTK15" s="518"/>
      <c r="VTL15" s="518"/>
      <c r="VTM15" s="518"/>
      <c r="VTN15" s="518"/>
      <c r="VTO15" s="518"/>
      <c r="VTP15" s="518"/>
      <c r="VTQ15" s="518"/>
      <c r="VTR15" s="518"/>
      <c r="VTS15" s="518"/>
      <c r="VTT15" s="518"/>
      <c r="VTU15" s="518"/>
      <c r="VTV15" s="518"/>
      <c r="VTW15" s="518"/>
      <c r="VTX15" s="518"/>
      <c r="VTY15" s="518"/>
      <c r="VTZ15" s="518"/>
      <c r="VUA15" s="518"/>
      <c r="VUB15" s="518"/>
      <c r="VUC15" s="518"/>
      <c r="VUD15" s="518"/>
      <c r="VUE15" s="518"/>
      <c r="VUF15" s="518"/>
      <c r="VUG15" s="518"/>
      <c r="VUH15" s="518"/>
      <c r="VUI15" s="518"/>
      <c r="VUJ15" s="518"/>
      <c r="VUK15" s="518"/>
      <c r="VUL15" s="518"/>
      <c r="VUM15" s="518"/>
      <c r="VUN15" s="518"/>
      <c r="VUO15" s="518"/>
      <c r="VUP15" s="518"/>
      <c r="VUQ15" s="518"/>
      <c r="VUR15" s="518"/>
      <c r="VUS15" s="518"/>
      <c r="VUT15" s="518"/>
      <c r="VUU15" s="518"/>
      <c r="VUV15" s="518"/>
      <c r="VUW15" s="518"/>
      <c r="VUX15" s="518"/>
      <c r="VUY15" s="518"/>
      <c r="VUZ15" s="518"/>
      <c r="VVA15" s="518"/>
      <c r="VVB15" s="518"/>
      <c r="VVC15" s="518"/>
      <c r="VVD15" s="518"/>
      <c r="VVE15" s="518"/>
      <c r="VVF15" s="518"/>
      <c r="VVG15" s="518"/>
      <c r="VVH15" s="518"/>
      <c r="VVI15" s="518"/>
      <c r="VVJ15" s="518"/>
      <c r="VVK15" s="518"/>
      <c r="VVL15" s="518"/>
      <c r="VVM15" s="518"/>
      <c r="VVN15" s="518"/>
      <c r="VVO15" s="518"/>
      <c r="VVP15" s="518"/>
      <c r="VVQ15" s="518"/>
      <c r="VVR15" s="518"/>
      <c r="VVS15" s="518"/>
      <c r="VVT15" s="518"/>
      <c r="VVU15" s="518"/>
      <c r="VVV15" s="518"/>
      <c r="VVW15" s="518"/>
      <c r="VVX15" s="518"/>
      <c r="VVY15" s="518"/>
      <c r="VVZ15" s="518"/>
      <c r="VWA15" s="518"/>
      <c r="VWB15" s="518"/>
      <c r="VWC15" s="518"/>
      <c r="VWD15" s="518"/>
      <c r="VWE15" s="518"/>
      <c r="VWF15" s="518"/>
      <c r="VWG15" s="518"/>
      <c r="VWH15" s="518"/>
      <c r="VWI15" s="518"/>
      <c r="VWJ15" s="518"/>
      <c r="VWK15" s="518"/>
      <c r="VWL15" s="518"/>
      <c r="VWM15" s="518"/>
      <c r="VWN15" s="518"/>
      <c r="VWO15" s="518"/>
      <c r="VWP15" s="518"/>
      <c r="VWQ15" s="518"/>
      <c r="VWR15" s="518"/>
      <c r="VWS15" s="518"/>
      <c r="VWT15" s="518"/>
      <c r="VWU15" s="518"/>
      <c r="VWV15" s="518"/>
      <c r="VWW15" s="518"/>
      <c r="VWX15" s="518"/>
      <c r="VWY15" s="518"/>
      <c r="VWZ15" s="518"/>
      <c r="VXA15" s="518"/>
      <c r="VXB15" s="518"/>
      <c r="VXC15" s="518"/>
      <c r="VXD15" s="518"/>
      <c r="VXE15" s="518"/>
      <c r="VXF15" s="518"/>
      <c r="VXG15" s="518"/>
      <c r="VXH15" s="518"/>
      <c r="VXI15" s="518"/>
      <c r="VXJ15" s="518"/>
      <c r="VXK15" s="518"/>
      <c r="VXL15" s="518"/>
      <c r="VXM15" s="518"/>
      <c r="VXN15" s="518"/>
      <c r="VXO15" s="518"/>
      <c r="VXP15" s="518"/>
      <c r="VXQ15" s="518"/>
      <c r="VXR15" s="518"/>
      <c r="VXS15" s="518"/>
      <c r="VXT15" s="518"/>
      <c r="VXU15" s="518"/>
      <c r="VXV15" s="518"/>
      <c r="VXW15" s="518"/>
      <c r="VXX15" s="518"/>
      <c r="VXY15" s="518"/>
      <c r="VXZ15" s="518"/>
      <c r="VYA15" s="518"/>
      <c r="VYB15" s="518"/>
      <c r="VYC15" s="518"/>
      <c r="VYD15" s="518"/>
      <c r="VYE15" s="518"/>
      <c r="VYF15" s="518"/>
      <c r="VYG15" s="518"/>
      <c r="VYH15" s="518"/>
      <c r="VYI15" s="518"/>
      <c r="VYJ15" s="518"/>
      <c r="VYK15" s="518"/>
      <c r="VYL15" s="518"/>
      <c r="VYM15" s="518"/>
      <c r="VYN15" s="518"/>
      <c r="VYO15" s="518"/>
      <c r="VYP15" s="518"/>
      <c r="VYQ15" s="518"/>
      <c r="VYR15" s="518"/>
      <c r="VYS15" s="518"/>
      <c r="VYT15" s="518"/>
      <c r="VYU15" s="518"/>
      <c r="VYV15" s="518"/>
      <c r="VYW15" s="518"/>
      <c r="VYX15" s="518"/>
      <c r="VYY15" s="518"/>
      <c r="VYZ15" s="518"/>
      <c r="VZA15" s="518"/>
      <c r="VZB15" s="518"/>
      <c r="VZC15" s="518"/>
      <c r="VZD15" s="518"/>
      <c r="VZE15" s="518"/>
      <c r="VZF15" s="518"/>
      <c r="VZG15" s="518"/>
      <c r="VZH15" s="518"/>
      <c r="VZI15" s="518"/>
      <c r="VZJ15" s="518"/>
      <c r="VZK15" s="518"/>
      <c r="VZL15" s="518"/>
      <c r="VZM15" s="518"/>
      <c r="VZN15" s="518"/>
      <c r="VZO15" s="518"/>
      <c r="VZP15" s="518"/>
      <c r="VZQ15" s="518"/>
      <c r="VZR15" s="518"/>
      <c r="VZS15" s="518"/>
      <c r="VZT15" s="518"/>
      <c r="VZU15" s="518"/>
      <c r="VZV15" s="518"/>
      <c r="VZW15" s="518"/>
      <c r="VZX15" s="518"/>
      <c r="VZY15" s="518"/>
      <c r="VZZ15" s="518"/>
      <c r="WAA15" s="518"/>
      <c r="WAB15" s="518"/>
      <c r="WAC15" s="518"/>
      <c r="WAD15" s="518"/>
      <c r="WAE15" s="518"/>
      <c r="WAF15" s="518"/>
      <c r="WAG15" s="518"/>
      <c r="WAH15" s="518"/>
      <c r="WAI15" s="518"/>
      <c r="WAJ15" s="518"/>
      <c r="WAK15" s="518"/>
      <c r="WAL15" s="518"/>
      <c r="WAM15" s="518"/>
      <c r="WAN15" s="518"/>
      <c r="WAO15" s="518"/>
      <c r="WAP15" s="518"/>
      <c r="WAQ15" s="518"/>
      <c r="WAR15" s="518"/>
      <c r="WAS15" s="518"/>
      <c r="WAT15" s="518"/>
      <c r="WAU15" s="518"/>
      <c r="WAV15" s="518"/>
      <c r="WAW15" s="518"/>
      <c r="WAX15" s="518"/>
      <c r="WAY15" s="518"/>
      <c r="WAZ15" s="518"/>
      <c r="WBA15" s="518"/>
      <c r="WBB15" s="518"/>
      <c r="WBC15" s="518"/>
      <c r="WBD15" s="518"/>
      <c r="WBE15" s="518"/>
      <c r="WBF15" s="518"/>
      <c r="WBG15" s="518"/>
      <c r="WBH15" s="518"/>
      <c r="WBI15" s="518"/>
      <c r="WBJ15" s="518"/>
      <c r="WBK15" s="518"/>
      <c r="WBL15" s="518"/>
      <c r="WBM15" s="518"/>
      <c r="WBN15" s="518"/>
      <c r="WBO15" s="518"/>
      <c r="WBP15" s="518"/>
      <c r="WBQ15" s="518"/>
      <c r="WBR15" s="518"/>
      <c r="WBS15" s="518"/>
      <c r="WBT15" s="518"/>
      <c r="WBU15" s="518"/>
      <c r="WBV15" s="518"/>
      <c r="WBW15" s="518"/>
      <c r="WBX15" s="518"/>
      <c r="WBY15" s="518"/>
      <c r="WBZ15" s="518"/>
      <c r="WCA15" s="518"/>
      <c r="WCB15" s="518"/>
      <c r="WCC15" s="518"/>
      <c r="WCD15" s="518"/>
      <c r="WCE15" s="518"/>
      <c r="WCF15" s="518"/>
      <c r="WCG15" s="518"/>
      <c r="WCH15" s="518"/>
      <c r="WCI15" s="518"/>
      <c r="WCJ15" s="518"/>
      <c r="WCK15" s="518"/>
      <c r="WCL15" s="518"/>
      <c r="WCM15" s="518"/>
      <c r="WCN15" s="518"/>
      <c r="WCO15" s="518"/>
      <c r="WCP15" s="518"/>
      <c r="WCQ15" s="518"/>
      <c r="WCR15" s="518"/>
      <c r="WCS15" s="518"/>
      <c r="WCT15" s="518"/>
      <c r="WCU15" s="518"/>
      <c r="WCV15" s="518"/>
      <c r="WCW15" s="518"/>
      <c r="WCX15" s="518"/>
      <c r="WCY15" s="518"/>
      <c r="WCZ15" s="518"/>
      <c r="WDA15" s="518"/>
      <c r="WDB15" s="518"/>
      <c r="WDC15" s="518"/>
      <c r="WDD15" s="518"/>
      <c r="WDE15" s="518"/>
      <c r="WDF15" s="518"/>
      <c r="WDG15" s="518"/>
      <c r="WDH15" s="518"/>
      <c r="WDI15" s="518"/>
      <c r="WDJ15" s="518"/>
      <c r="WDK15" s="518"/>
      <c r="WDL15" s="518"/>
      <c r="WDM15" s="518"/>
      <c r="WDN15" s="518"/>
      <c r="WDO15" s="518"/>
      <c r="WDP15" s="518"/>
      <c r="WDQ15" s="518"/>
      <c r="WDR15" s="518"/>
      <c r="WDS15" s="518"/>
      <c r="WDT15" s="518"/>
      <c r="WDU15" s="518"/>
      <c r="WDV15" s="518"/>
      <c r="WDW15" s="518"/>
      <c r="WDX15" s="518"/>
      <c r="WDY15" s="518"/>
      <c r="WDZ15" s="518"/>
      <c r="WEA15" s="518"/>
      <c r="WEB15" s="518"/>
      <c r="WEC15" s="518"/>
      <c r="WED15" s="518"/>
      <c r="WEE15" s="518"/>
      <c r="WEF15" s="518"/>
      <c r="WEG15" s="518"/>
      <c r="WEH15" s="518"/>
      <c r="WEI15" s="518"/>
      <c r="WEJ15" s="518"/>
      <c r="WEK15" s="518"/>
      <c r="WEL15" s="518"/>
      <c r="WEM15" s="518"/>
      <c r="WEN15" s="518"/>
      <c r="WEO15" s="518"/>
      <c r="WEP15" s="518"/>
      <c r="WEQ15" s="518"/>
      <c r="WER15" s="518"/>
      <c r="WES15" s="518"/>
      <c r="WET15" s="518"/>
      <c r="WEU15" s="518"/>
      <c r="WEV15" s="518"/>
      <c r="WEW15" s="518"/>
      <c r="WEX15" s="518"/>
      <c r="WEY15" s="518"/>
      <c r="WEZ15" s="518"/>
      <c r="WFA15" s="518"/>
      <c r="WFB15" s="518"/>
      <c r="WFC15" s="518"/>
      <c r="WFD15" s="518"/>
      <c r="WFE15" s="518"/>
      <c r="WFF15" s="518"/>
      <c r="WFG15" s="518"/>
      <c r="WFH15" s="518"/>
      <c r="WFI15" s="518"/>
      <c r="WFJ15" s="518"/>
      <c r="WFK15" s="518"/>
      <c r="WFL15" s="518"/>
      <c r="WFM15" s="518"/>
      <c r="WFN15" s="518"/>
      <c r="WFO15" s="518"/>
      <c r="WFP15" s="518"/>
      <c r="WFQ15" s="518"/>
      <c r="WFR15" s="518"/>
      <c r="WFS15" s="518"/>
      <c r="WFT15" s="518"/>
      <c r="WFU15" s="518"/>
      <c r="WFV15" s="518"/>
      <c r="WFW15" s="518"/>
      <c r="WFX15" s="518"/>
      <c r="WFY15" s="518"/>
      <c r="WFZ15" s="518"/>
      <c r="WGA15" s="518"/>
      <c r="WGB15" s="518"/>
      <c r="WGC15" s="518"/>
      <c r="WGD15" s="518"/>
      <c r="WGE15" s="518"/>
      <c r="WGF15" s="518"/>
      <c r="WGG15" s="518"/>
      <c r="WGH15" s="518"/>
      <c r="WGI15" s="518"/>
      <c r="WGJ15" s="518"/>
      <c r="WGK15" s="518"/>
      <c r="WGL15" s="518"/>
      <c r="WGM15" s="518"/>
      <c r="WGN15" s="518"/>
      <c r="WGO15" s="518"/>
      <c r="WGP15" s="518"/>
      <c r="WGQ15" s="518"/>
      <c r="WGR15" s="518"/>
      <c r="WGS15" s="518"/>
      <c r="WGT15" s="518"/>
      <c r="WGU15" s="518"/>
      <c r="WGV15" s="518"/>
      <c r="WGW15" s="518"/>
      <c r="WGX15" s="518"/>
      <c r="WGY15" s="518"/>
      <c r="WGZ15" s="518"/>
      <c r="WHA15" s="518"/>
      <c r="WHB15" s="518"/>
      <c r="WHC15" s="518"/>
      <c r="WHD15" s="518"/>
      <c r="WHE15" s="518"/>
      <c r="WHF15" s="518"/>
      <c r="WHG15" s="518"/>
      <c r="WHH15" s="518"/>
      <c r="WHI15" s="518"/>
      <c r="WHJ15" s="518"/>
      <c r="WHK15" s="518"/>
      <c r="WHL15" s="518"/>
      <c r="WHM15" s="518"/>
      <c r="WHN15" s="518"/>
      <c r="WHO15" s="518"/>
      <c r="WHP15" s="518"/>
      <c r="WHQ15" s="518"/>
      <c r="WHR15" s="518"/>
      <c r="WHS15" s="518"/>
      <c r="WHT15" s="518"/>
      <c r="WHU15" s="518"/>
      <c r="WHV15" s="518"/>
      <c r="WHW15" s="518"/>
      <c r="WHX15" s="518"/>
      <c r="WHY15" s="518"/>
      <c r="WHZ15" s="518"/>
      <c r="WIA15" s="518"/>
      <c r="WIB15" s="518"/>
      <c r="WIC15" s="518"/>
      <c r="WID15" s="518"/>
      <c r="WIE15" s="518"/>
      <c r="WIF15" s="518"/>
      <c r="WIG15" s="518"/>
      <c r="WIH15" s="518"/>
      <c r="WII15" s="518"/>
      <c r="WIJ15" s="518"/>
      <c r="WIK15" s="518"/>
      <c r="WIL15" s="518"/>
      <c r="WIM15" s="518"/>
      <c r="WIN15" s="518"/>
      <c r="WIO15" s="518"/>
      <c r="WIP15" s="518"/>
      <c r="WIQ15" s="518"/>
      <c r="WIR15" s="518"/>
      <c r="WIS15" s="518"/>
      <c r="WIT15" s="518"/>
      <c r="WIU15" s="518"/>
      <c r="WIV15" s="518"/>
      <c r="WIW15" s="518"/>
      <c r="WIX15" s="518"/>
      <c r="WIY15" s="518"/>
      <c r="WIZ15" s="518"/>
      <c r="WJA15" s="518"/>
      <c r="WJB15" s="518"/>
      <c r="WJC15" s="518"/>
      <c r="WJD15" s="518"/>
      <c r="WJE15" s="518"/>
      <c r="WJF15" s="518"/>
      <c r="WJG15" s="518"/>
      <c r="WJH15" s="518"/>
      <c r="WJI15" s="518"/>
      <c r="WJJ15" s="518"/>
      <c r="WJK15" s="518"/>
      <c r="WJL15" s="518"/>
      <c r="WJM15" s="518"/>
      <c r="WJN15" s="518"/>
      <c r="WJO15" s="518"/>
      <c r="WJP15" s="518"/>
      <c r="WJQ15" s="518"/>
      <c r="WJR15" s="518"/>
      <c r="WJS15" s="518"/>
      <c r="WJT15" s="518"/>
      <c r="WJU15" s="518"/>
      <c r="WJV15" s="518"/>
      <c r="WJW15" s="518"/>
      <c r="WJX15" s="518"/>
      <c r="WJY15" s="518"/>
      <c r="WJZ15" s="518"/>
      <c r="WKA15" s="518"/>
      <c r="WKB15" s="518"/>
      <c r="WKC15" s="518"/>
      <c r="WKD15" s="518"/>
      <c r="WKE15" s="518"/>
      <c r="WKF15" s="518"/>
      <c r="WKG15" s="518"/>
      <c r="WKH15" s="518"/>
      <c r="WKI15" s="518"/>
      <c r="WKJ15" s="518"/>
      <c r="WKK15" s="518"/>
      <c r="WKL15" s="518"/>
      <c r="WKM15" s="518"/>
      <c r="WKN15" s="518"/>
      <c r="WKO15" s="518"/>
      <c r="WKP15" s="518"/>
      <c r="WKQ15" s="518"/>
      <c r="WKR15" s="518"/>
      <c r="WKS15" s="518"/>
      <c r="WKT15" s="518"/>
      <c r="WKU15" s="518"/>
      <c r="WKV15" s="518"/>
      <c r="WKW15" s="518"/>
      <c r="WKX15" s="518"/>
      <c r="WKY15" s="518"/>
      <c r="WKZ15" s="518"/>
      <c r="WLA15" s="518"/>
      <c r="WLB15" s="518"/>
      <c r="WLC15" s="518"/>
      <c r="WLD15" s="518"/>
      <c r="WLE15" s="518"/>
      <c r="WLF15" s="518"/>
      <c r="WLG15" s="518"/>
      <c r="WLH15" s="518"/>
      <c r="WLI15" s="518"/>
      <c r="WLJ15" s="518"/>
      <c r="WLK15" s="518"/>
      <c r="WLL15" s="518"/>
      <c r="WLM15" s="518"/>
      <c r="WLN15" s="518"/>
      <c r="WLO15" s="518"/>
      <c r="WLP15" s="518"/>
      <c r="WLQ15" s="518"/>
      <c r="WLR15" s="518"/>
      <c r="WLS15" s="518"/>
      <c r="WLT15" s="518"/>
      <c r="WLU15" s="518"/>
      <c r="WLV15" s="518"/>
      <c r="WLW15" s="518"/>
      <c r="WLX15" s="518"/>
      <c r="WLY15" s="518"/>
      <c r="WLZ15" s="518"/>
      <c r="WMA15" s="518"/>
      <c r="WMB15" s="518"/>
      <c r="WMC15" s="518"/>
      <c r="WMD15" s="518"/>
      <c r="WME15" s="518"/>
      <c r="WMF15" s="518"/>
      <c r="WMG15" s="518"/>
      <c r="WMH15" s="518"/>
      <c r="WMI15" s="518"/>
      <c r="WMJ15" s="518"/>
      <c r="WMK15" s="518"/>
      <c r="WML15" s="518"/>
      <c r="WMM15" s="518"/>
      <c r="WMN15" s="518"/>
      <c r="WMO15" s="518"/>
      <c r="WMP15" s="518"/>
      <c r="WMQ15" s="518"/>
      <c r="WMR15" s="518"/>
      <c r="WMS15" s="518"/>
      <c r="WMT15" s="518"/>
      <c r="WMU15" s="518"/>
      <c r="WMV15" s="518"/>
      <c r="WMW15" s="518"/>
      <c r="WMX15" s="518"/>
      <c r="WMY15" s="518"/>
      <c r="WMZ15" s="518"/>
      <c r="WNA15" s="518"/>
      <c r="WNB15" s="518"/>
      <c r="WNC15" s="518"/>
      <c r="WND15" s="518"/>
      <c r="WNE15" s="518"/>
      <c r="WNF15" s="518"/>
      <c r="WNG15" s="518"/>
      <c r="WNH15" s="518"/>
      <c r="WNI15" s="518"/>
      <c r="WNJ15" s="518"/>
      <c r="WNK15" s="518"/>
      <c r="WNL15" s="518"/>
      <c r="WNM15" s="518"/>
      <c r="WNN15" s="518"/>
      <c r="WNO15" s="518"/>
      <c r="WNP15" s="518"/>
      <c r="WNQ15" s="518"/>
      <c r="WNR15" s="518"/>
      <c r="WNS15" s="518"/>
      <c r="WNT15" s="518"/>
      <c r="WNU15" s="518"/>
      <c r="WNV15" s="518"/>
      <c r="WNW15" s="518"/>
      <c r="WNX15" s="518"/>
      <c r="WNY15" s="518"/>
      <c r="WNZ15" s="518"/>
      <c r="WOA15" s="518"/>
      <c r="WOB15" s="518"/>
      <c r="WOC15" s="518"/>
      <c r="WOD15" s="518"/>
      <c r="WOE15" s="518"/>
      <c r="WOF15" s="518"/>
      <c r="WOG15" s="518"/>
      <c r="WOH15" s="518"/>
      <c r="WOI15" s="518"/>
      <c r="WOJ15" s="518"/>
      <c r="WOK15" s="518"/>
      <c r="WOL15" s="518"/>
      <c r="WOM15" s="518"/>
      <c r="WON15" s="518"/>
      <c r="WOO15" s="518"/>
      <c r="WOP15" s="518"/>
      <c r="WOQ15" s="518"/>
      <c r="WOR15" s="518"/>
      <c r="WOS15" s="518"/>
      <c r="WOT15" s="518"/>
      <c r="WOU15" s="518"/>
      <c r="WOV15" s="518"/>
      <c r="WOW15" s="518"/>
      <c r="WOX15" s="518"/>
      <c r="WOY15" s="518"/>
      <c r="WOZ15" s="518"/>
      <c r="WPA15" s="518"/>
      <c r="WPB15" s="518"/>
      <c r="WPC15" s="518"/>
      <c r="WPD15" s="518"/>
      <c r="WPE15" s="518"/>
      <c r="WPF15" s="518"/>
      <c r="WPG15" s="518"/>
      <c r="WPH15" s="518"/>
      <c r="WPI15" s="518"/>
      <c r="WPJ15" s="518"/>
      <c r="WPK15" s="518"/>
      <c r="WPL15" s="518"/>
      <c r="WPM15" s="518"/>
      <c r="WPN15" s="518"/>
      <c r="WPO15" s="518"/>
      <c r="WPP15" s="518"/>
      <c r="WPQ15" s="518"/>
      <c r="WPR15" s="518"/>
      <c r="WPS15" s="518"/>
      <c r="WPT15" s="518"/>
      <c r="WPU15" s="518"/>
      <c r="WPV15" s="518"/>
      <c r="WPW15" s="518"/>
      <c r="WPX15" s="518"/>
      <c r="WPY15" s="518"/>
      <c r="WPZ15" s="518"/>
      <c r="WQA15" s="518"/>
      <c r="WQB15" s="518"/>
      <c r="WQC15" s="518"/>
      <c r="WQD15" s="518"/>
      <c r="WQE15" s="518"/>
      <c r="WQF15" s="518"/>
      <c r="WQG15" s="518"/>
      <c r="WQH15" s="518"/>
      <c r="WQI15" s="518"/>
      <c r="WQJ15" s="518"/>
      <c r="WQK15" s="518"/>
      <c r="WQL15" s="518"/>
      <c r="WQM15" s="518"/>
      <c r="WQN15" s="518"/>
      <c r="WQO15" s="518"/>
      <c r="WQP15" s="518"/>
      <c r="WQQ15" s="518"/>
      <c r="WQR15" s="518"/>
      <c r="WQS15" s="518"/>
      <c r="WQT15" s="518"/>
      <c r="WQU15" s="518"/>
      <c r="WQV15" s="518"/>
      <c r="WQW15" s="518"/>
      <c r="WQX15" s="518"/>
      <c r="WQY15" s="518"/>
      <c r="WQZ15" s="518"/>
      <c r="WRA15" s="518"/>
      <c r="WRB15" s="518"/>
      <c r="WRC15" s="518"/>
      <c r="WRD15" s="518"/>
      <c r="WRE15" s="518"/>
      <c r="WRF15" s="518"/>
      <c r="WRG15" s="518"/>
      <c r="WRH15" s="518"/>
      <c r="WRI15" s="518"/>
      <c r="WRJ15" s="518"/>
      <c r="WRK15" s="518"/>
      <c r="WRL15" s="518"/>
      <c r="WRM15" s="518"/>
      <c r="WRN15" s="518"/>
      <c r="WRO15" s="518"/>
      <c r="WRP15" s="518"/>
      <c r="WRQ15" s="518"/>
      <c r="WRR15" s="518"/>
      <c r="WRS15" s="518"/>
      <c r="WRT15" s="518"/>
      <c r="WRU15" s="518"/>
      <c r="WRV15" s="518"/>
      <c r="WRW15" s="518"/>
      <c r="WRX15" s="518"/>
      <c r="WRY15" s="518"/>
      <c r="WRZ15" s="518"/>
      <c r="WSA15" s="518"/>
      <c r="WSB15" s="518"/>
      <c r="WSC15" s="518"/>
      <c r="WSD15" s="518"/>
      <c r="WSE15" s="518"/>
      <c r="WSF15" s="518"/>
      <c r="WSG15" s="518"/>
      <c r="WSH15" s="518"/>
      <c r="WSI15" s="518"/>
      <c r="WSJ15" s="518"/>
      <c r="WSK15" s="518"/>
      <c r="WSL15" s="518"/>
      <c r="WSM15" s="518"/>
      <c r="WSN15" s="518"/>
      <c r="WSO15" s="518"/>
      <c r="WSP15" s="518"/>
      <c r="WSQ15" s="518"/>
      <c r="WSR15" s="518"/>
      <c r="WSS15" s="518"/>
      <c r="WST15" s="518"/>
      <c r="WSU15" s="518"/>
      <c r="WSV15" s="518"/>
      <c r="WSW15" s="518"/>
      <c r="WSX15" s="518"/>
      <c r="WSY15" s="518"/>
      <c r="WSZ15" s="518"/>
      <c r="WTA15" s="518"/>
      <c r="WTB15" s="518"/>
      <c r="WTC15" s="518"/>
      <c r="WTD15" s="518"/>
      <c r="WTE15" s="518"/>
      <c r="WTF15" s="518"/>
      <c r="WTG15" s="518"/>
      <c r="WTH15" s="518"/>
      <c r="WTI15" s="518"/>
      <c r="WTJ15" s="518"/>
      <c r="WTK15" s="518"/>
      <c r="WTL15" s="518"/>
      <c r="WTM15" s="518"/>
      <c r="WTN15" s="518"/>
      <c r="WTO15" s="518"/>
      <c r="WTP15" s="518"/>
      <c r="WTQ15" s="518"/>
      <c r="WTR15" s="518"/>
      <c r="WTS15" s="518"/>
      <c r="WTT15" s="518"/>
      <c r="WTU15" s="518"/>
      <c r="WTV15" s="518"/>
      <c r="WTW15" s="518"/>
      <c r="WTX15" s="518"/>
      <c r="WTY15" s="518"/>
      <c r="WTZ15" s="518"/>
      <c r="WUA15" s="518"/>
      <c r="WUB15" s="518"/>
      <c r="WUC15" s="518"/>
      <c r="WUD15" s="518"/>
      <c r="WUE15" s="518"/>
      <c r="WUF15" s="518"/>
      <c r="WUG15" s="518"/>
      <c r="WUH15" s="518"/>
      <c r="WUI15" s="518"/>
      <c r="WUJ15" s="518"/>
      <c r="WUK15" s="518"/>
      <c r="WUL15" s="518"/>
      <c r="WUM15" s="518"/>
      <c r="WUN15" s="518"/>
      <c r="WUO15" s="518"/>
      <c r="WUP15" s="518"/>
      <c r="WUQ15" s="518"/>
      <c r="WUR15" s="518"/>
      <c r="WUS15" s="518"/>
      <c r="WUT15" s="518"/>
      <c r="WUU15" s="518"/>
      <c r="WUV15" s="518"/>
      <c r="WUW15" s="518"/>
      <c r="WUX15" s="518"/>
      <c r="WUY15" s="518"/>
      <c r="WUZ15" s="518"/>
      <c r="WVA15" s="518"/>
      <c r="WVB15" s="518"/>
      <c r="WVC15" s="518"/>
      <c r="WVD15" s="518"/>
      <c r="WVE15" s="518"/>
      <c r="WVF15" s="518"/>
      <c r="WVG15" s="518"/>
      <c r="WVH15" s="518"/>
      <c r="WVI15" s="518"/>
      <c r="WVJ15" s="518"/>
      <c r="WVK15" s="518"/>
      <c r="WVL15" s="518"/>
      <c r="WVM15" s="518"/>
      <c r="WVN15" s="518"/>
      <c r="WVO15" s="518"/>
      <c r="WVP15" s="518"/>
      <c r="WVQ15" s="518"/>
      <c r="WVR15" s="518"/>
      <c r="WVS15" s="518"/>
      <c r="WVT15" s="518"/>
      <c r="WVU15" s="518"/>
      <c r="WVV15" s="518"/>
      <c r="WVW15" s="518"/>
      <c r="WVX15" s="518"/>
      <c r="WVY15" s="518"/>
      <c r="WVZ15" s="518"/>
      <c r="WWA15" s="518"/>
      <c r="WWB15" s="518"/>
      <c r="WWC15" s="518"/>
      <c r="WWD15" s="518"/>
      <c r="WWE15" s="518"/>
      <c r="WWF15" s="518"/>
      <c r="WWG15" s="518"/>
      <c r="WWH15" s="518"/>
      <c r="WWI15" s="518"/>
      <c r="WWJ15" s="518"/>
      <c r="WWK15" s="518"/>
      <c r="WWL15" s="518"/>
      <c r="WWM15" s="518"/>
      <c r="WWN15" s="518"/>
      <c r="WWO15" s="518"/>
      <c r="WWP15" s="518"/>
      <c r="WWQ15" s="518"/>
      <c r="WWR15" s="518"/>
      <c r="WWS15" s="518"/>
      <c r="WWT15" s="518"/>
      <c r="WWU15" s="518"/>
      <c r="WWV15" s="518"/>
      <c r="WWW15" s="518"/>
      <c r="WWX15" s="518"/>
      <c r="WWY15" s="518"/>
      <c r="WWZ15" s="518"/>
      <c r="WXA15" s="518"/>
      <c r="WXB15" s="518"/>
      <c r="WXC15" s="518"/>
      <c r="WXD15" s="518"/>
      <c r="WXE15" s="518"/>
      <c r="WXF15" s="518"/>
      <c r="WXG15" s="518"/>
      <c r="WXH15" s="518"/>
      <c r="WXI15" s="518"/>
      <c r="WXJ15" s="518"/>
      <c r="WXK15" s="518"/>
      <c r="WXL15" s="518"/>
      <c r="WXM15" s="518"/>
      <c r="WXN15" s="518"/>
      <c r="WXO15" s="518"/>
      <c r="WXP15" s="518"/>
      <c r="WXQ15" s="518"/>
      <c r="WXR15" s="518"/>
      <c r="WXS15" s="518"/>
      <c r="WXT15" s="518"/>
      <c r="WXU15" s="518"/>
      <c r="WXV15" s="518"/>
      <c r="WXW15" s="518"/>
      <c r="WXX15" s="518"/>
      <c r="WXY15" s="518"/>
      <c r="WXZ15" s="518"/>
      <c r="WYA15" s="518"/>
      <c r="WYB15" s="518"/>
      <c r="WYC15" s="518"/>
      <c r="WYD15" s="518"/>
      <c r="WYE15" s="518"/>
      <c r="WYF15" s="518"/>
      <c r="WYG15" s="518"/>
      <c r="WYH15" s="518"/>
      <c r="WYI15" s="518"/>
      <c r="WYJ15" s="518"/>
      <c r="WYK15" s="518"/>
      <c r="WYL15" s="518"/>
      <c r="WYM15" s="518"/>
      <c r="WYN15" s="518"/>
      <c r="WYO15" s="518"/>
      <c r="WYP15" s="518"/>
      <c r="WYQ15" s="518"/>
      <c r="WYR15" s="518"/>
      <c r="WYS15" s="518"/>
      <c r="WYT15" s="518"/>
      <c r="WYU15" s="518"/>
      <c r="WYV15" s="518"/>
      <c r="WYW15" s="518"/>
      <c r="WYX15" s="518"/>
      <c r="WYY15" s="518"/>
      <c r="WYZ15" s="518"/>
      <c r="WZA15" s="518"/>
      <c r="WZB15" s="518"/>
      <c r="WZC15" s="518"/>
      <c r="WZD15" s="518"/>
      <c r="WZE15" s="518"/>
      <c r="WZF15" s="518"/>
      <c r="WZG15" s="518"/>
      <c r="WZH15" s="518"/>
      <c r="WZI15" s="518"/>
      <c r="WZJ15" s="518"/>
      <c r="WZK15" s="518"/>
      <c r="WZL15" s="518"/>
      <c r="WZM15" s="518"/>
      <c r="WZN15" s="518"/>
      <c r="WZO15" s="518"/>
      <c r="WZP15" s="518"/>
      <c r="WZQ15" s="518"/>
      <c r="WZR15" s="518"/>
      <c r="WZS15" s="518"/>
      <c r="WZT15" s="518"/>
      <c r="WZU15" s="518"/>
      <c r="WZV15" s="518"/>
      <c r="WZW15" s="518"/>
      <c r="WZX15" s="518"/>
      <c r="WZY15" s="518"/>
      <c r="WZZ15" s="518"/>
      <c r="XAA15" s="518"/>
      <c r="XAB15" s="518"/>
      <c r="XAC15" s="518"/>
      <c r="XAD15" s="518"/>
      <c r="XAE15" s="518"/>
      <c r="XAF15" s="518"/>
      <c r="XAG15" s="518"/>
      <c r="XAH15" s="518"/>
      <c r="XAI15" s="518"/>
      <c r="XAJ15" s="518"/>
      <c r="XAK15" s="518"/>
      <c r="XAL15" s="518"/>
      <c r="XAM15" s="518"/>
      <c r="XAN15" s="518"/>
      <c r="XAO15" s="518"/>
      <c r="XAP15" s="518"/>
      <c r="XAQ15" s="518"/>
      <c r="XAR15" s="518"/>
      <c r="XAS15" s="518"/>
      <c r="XAT15" s="518"/>
      <c r="XAU15" s="518"/>
      <c r="XAV15" s="518"/>
      <c r="XAW15" s="518"/>
      <c r="XAX15" s="518"/>
      <c r="XAY15" s="518"/>
      <c r="XAZ15" s="518"/>
      <c r="XBA15" s="518"/>
      <c r="XBB15" s="518"/>
      <c r="XBC15" s="518"/>
      <c r="XBD15" s="518"/>
      <c r="XBE15" s="518"/>
      <c r="XBF15" s="518"/>
      <c r="XBG15" s="518"/>
      <c r="XBH15" s="518"/>
      <c r="XBI15" s="518"/>
      <c r="XBJ15" s="518"/>
      <c r="XBK15" s="518"/>
      <c r="XBL15" s="518"/>
      <c r="XBM15" s="518"/>
      <c r="XBN15" s="518"/>
      <c r="XBO15" s="518"/>
      <c r="XBP15" s="518"/>
      <c r="XBQ15" s="518"/>
      <c r="XBR15" s="518"/>
      <c r="XBS15" s="518"/>
      <c r="XBT15" s="518"/>
      <c r="XBU15" s="518"/>
      <c r="XBV15" s="518"/>
      <c r="XBW15" s="518"/>
      <c r="XBX15" s="518"/>
      <c r="XBY15" s="518"/>
      <c r="XBZ15" s="518"/>
      <c r="XCA15" s="518"/>
      <c r="XCB15" s="518"/>
      <c r="XCC15" s="518"/>
      <c r="XCD15" s="518"/>
      <c r="XCE15" s="518"/>
      <c r="XCF15" s="518"/>
      <c r="XCG15" s="518"/>
      <c r="XCH15" s="518"/>
      <c r="XCI15" s="518"/>
      <c r="XCJ15" s="518"/>
      <c r="XCK15" s="518"/>
      <c r="XCL15" s="518"/>
      <c r="XCM15" s="518"/>
      <c r="XCN15" s="518"/>
      <c r="XCO15" s="518"/>
      <c r="XCP15" s="518"/>
      <c r="XCQ15" s="518"/>
      <c r="XCR15" s="518"/>
      <c r="XCS15" s="518"/>
      <c r="XCT15" s="518"/>
      <c r="XCU15" s="518"/>
      <c r="XCV15" s="518"/>
      <c r="XCW15" s="518"/>
      <c r="XCX15" s="518"/>
      <c r="XCY15" s="518"/>
      <c r="XCZ15" s="518"/>
      <c r="XDA15" s="518"/>
      <c r="XDB15" s="518"/>
      <c r="XDC15" s="518"/>
      <c r="XDD15" s="518"/>
      <c r="XDE15" s="518"/>
      <c r="XDF15" s="518"/>
      <c r="XDG15" s="518"/>
      <c r="XDH15" s="518"/>
      <c r="XDI15" s="518"/>
      <c r="XDJ15" s="518"/>
      <c r="XDK15" s="518"/>
      <c r="XDL15" s="518"/>
      <c r="XDM15" s="518"/>
      <c r="XDN15" s="518"/>
      <c r="XDO15" s="518"/>
      <c r="XDP15" s="518"/>
      <c r="XDQ15" s="518"/>
      <c r="XDR15" s="518"/>
      <c r="XDS15" s="518"/>
      <c r="XDT15" s="518"/>
      <c r="XDU15" s="518"/>
      <c r="XDV15" s="518"/>
      <c r="XDW15" s="518"/>
      <c r="XDX15" s="518"/>
      <c r="XDY15" s="518"/>
      <c r="XDZ15" s="518"/>
      <c r="XEA15" s="518"/>
      <c r="XEB15" s="518"/>
      <c r="XEC15" s="518"/>
      <c r="XED15" s="518"/>
      <c r="XEE15" s="518"/>
      <c r="XEF15" s="518"/>
      <c r="XEG15" s="518"/>
      <c r="XEH15" s="518"/>
      <c r="XEI15" s="518"/>
      <c r="XEJ15" s="518"/>
      <c r="XEK15" s="518"/>
      <c r="XEL15" s="518"/>
      <c r="XEM15" s="518"/>
      <c r="XEN15" s="518"/>
      <c r="XEO15" s="518"/>
      <c r="XEP15" s="518"/>
      <c r="XEQ15" s="518"/>
      <c r="XER15" s="518"/>
      <c r="XES15" s="518"/>
      <c r="XET15" s="518"/>
      <c r="XEU15" s="518"/>
      <c r="XEV15" s="518"/>
      <c r="XEW15" s="518"/>
      <c r="XEX15" s="518"/>
      <c r="XEY15" s="518"/>
      <c r="XEZ15" s="518"/>
      <c r="XFA15" s="518"/>
      <c r="XFB15" s="518"/>
      <c r="XFC15" s="518"/>
    </row>
    <row r="16" spans="1:16383">
      <c r="A16" s="87" t="s">
        <v>197</v>
      </c>
      <c r="B16" s="519">
        <v>6</v>
      </c>
      <c r="C16" s="519">
        <v>4</v>
      </c>
      <c r="D16" s="519">
        <v>3</v>
      </c>
      <c r="E16" s="519">
        <v>6</v>
      </c>
      <c r="F16" s="519">
        <v>3</v>
      </c>
      <c r="G16" s="519">
        <v>2</v>
      </c>
      <c r="H16" s="519"/>
      <c r="I16" s="519"/>
      <c r="J16" s="519"/>
      <c r="K16" s="519"/>
      <c r="L16" s="519"/>
      <c r="M16" s="519"/>
      <c r="N16" s="88">
        <f>SUM(B16:M16)</f>
        <v>24</v>
      </c>
      <c r="O16" s="88">
        <v>21</v>
      </c>
      <c r="P16" s="132"/>
    </row>
    <row r="17" spans="1:18" s="110" customFormat="1">
      <c r="A17" s="108" t="s">
        <v>209</v>
      </c>
      <c r="B17" s="122">
        <f t="shared" ref="B17:N17" si="1">IF(B16=0,0,B16/(B26/100000))</f>
        <v>4.8296735140704481</v>
      </c>
      <c r="C17" s="122">
        <f t="shared" si="1"/>
        <v>3.1306253424121468</v>
      </c>
      <c r="D17" s="122">
        <f t="shared" ref="D17:M17" si="2">IFERROR(IF(D16=0,0,D16/(D26/100000)),0)</f>
        <v>2.5786931183276316</v>
      </c>
      <c r="E17" s="122">
        <f t="shared" si="2"/>
        <v>4.5628764373060777</v>
      </c>
      <c r="F17" s="122">
        <f t="shared" si="2"/>
        <v>2.7657926761809932</v>
      </c>
      <c r="G17" s="122">
        <f t="shared" si="2"/>
        <v>1.8427744812589835</v>
      </c>
      <c r="H17" s="122">
        <f t="shared" si="2"/>
        <v>0</v>
      </c>
      <c r="I17" s="122">
        <f t="shared" si="2"/>
        <v>0</v>
      </c>
      <c r="J17" s="122">
        <f t="shared" si="2"/>
        <v>0</v>
      </c>
      <c r="K17" s="122">
        <f t="shared" si="2"/>
        <v>0</v>
      </c>
      <c r="L17" s="122">
        <f t="shared" si="2"/>
        <v>0</v>
      </c>
      <c r="M17" s="122">
        <f t="shared" si="2"/>
        <v>0</v>
      </c>
      <c r="N17" s="122">
        <f t="shared" si="1"/>
        <v>3.3480461360757552</v>
      </c>
      <c r="O17" s="122">
        <v>1.7161831403753718</v>
      </c>
      <c r="P17" s="132"/>
    </row>
    <row r="18" spans="1:18">
      <c r="A18" s="93" t="s">
        <v>198</v>
      </c>
      <c r="B18" s="521">
        <v>1</v>
      </c>
      <c r="C18" s="521">
        <v>1</v>
      </c>
      <c r="D18" s="521">
        <v>1</v>
      </c>
      <c r="E18" s="521">
        <v>1</v>
      </c>
      <c r="F18" s="521">
        <v>1</v>
      </c>
      <c r="G18" s="521">
        <v>1</v>
      </c>
      <c r="H18" s="521"/>
      <c r="I18" s="521"/>
      <c r="J18" s="521"/>
      <c r="K18" s="521"/>
      <c r="L18" s="521"/>
      <c r="M18" s="521"/>
      <c r="N18" s="92">
        <f>IFERROR(AVERAGE(B18:M18),0)</f>
        <v>1</v>
      </c>
      <c r="O18" s="94">
        <v>1</v>
      </c>
      <c r="P18" s="94">
        <v>1</v>
      </c>
    </row>
    <row r="19" spans="1:18">
      <c r="A19" s="93" t="s">
        <v>199</v>
      </c>
      <c r="B19" s="521">
        <v>1</v>
      </c>
      <c r="C19" s="521">
        <v>1</v>
      </c>
      <c r="D19" s="521">
        <v>1</v>
      </c>
      <c r="E19" s="521">
        <v>1</v>
      </c>
      <c r="F19" s="521">
        <v>1</v>
      </c>
      <c r="G19" s="521">
        <v>1</v>
      </c>
      <c r="H19" s="521"/>
      <c r="I19" s="521"/>
      <c r="J19" s="521"/>
      <c r="K19" s="521"/>
      <c r="L19" s="521"/>
      <c r="M19" s="521"/>
      <c r="N19" s="92">
        <f>IFERROR(AVERAGE(B19:M19),0)</f>
        <v>1</v>
      </c>
      <c r="O19" s="94">
        <v>1</v>
      </c>
      <c r="P19" s="94">
        <v>1</v>
      </c>
    </row>
    <row r="20" spans="1:18">
      <c r="A20" s="93" t="s">
        <v>200</v>
      </c>
      <c r="B20" s="521">
        <v>1</v>
      </c>
      <c r="C20" s="521">
        <v>1</v>
      </c>
      <c r="D20" s="521">
        <v>1</v>
      </c>
      <c r="E20" s="521">
        <v>1</v>
      </c>
      <c r="F20" s="521">
        <v>1</v>
      </c>
      <c r="G20" s="521">
        <v>1</v>
      </c>
      <c r="H20" s="521"/>
      <c r="I20" s="521"/>
      <c r="J20" s="521"/>
      <c r="K20" s="521"/>
      <c r="L20" s="521"/>
      <c r="M20" s="521"/>
      <c r="N20" s="92">
        <f>IFERROR(AVERAGE(B20:M20),0)</f>
        <v>1</v>
      </c>
      <c r="O20" s="94">
        <v>1</v>
      </c>
      <c r="P20" s="94">
        <v>1</v>
      </c>
    </row>
    <row r="21" spans="1:18">
      <c r="A21" s="93" t="s">
        <v>203</v>
      </c>
      <c r="B21" s="521">
        <v>1</v>
      </c>
      <c r="C21" s="521">
        <v>1</v>
      </c>
      <c r="D21" s="521">
        <v>1</v>
      </c>
      <c r="E21" s="521">
        <v>1</v>
      </c>
      <c r="F21" s="521">
        <v>1</v>
      </c>
      <c r="G21" s="521">
        <v>1</v>
      </c>
      <c r="H21" s="521"/>
      <c r="I21" s="521"/>
      <c r="J21" s="521"/>
      <c r="K21" s="521"/>
      <c r="L21" s="521"/>
      <c r="M21" s="521"/>
      <c r="N21" s="92">
        <f>IFERROR(AVERAGE(B21:M21),0)</f>
        <v>1</v>
      </c>
      <c r="O21" s="94">
        <v>1</v>
      </c>
      <c r="P21" s="94">
        <v>1</v>
      </c>
    </row>
    <row r="22" spans="1:18" ht="7.95" customHeight="1">
      <c r="A22" s="128"/>
      <c r="B22" s="129"/>
      <c r="C22" s="129"/>
      <c r="D22" s="129"/>
      <c r="E22" s="129"/>
      <c r="F22" s="129"/>
      <c r="G22" s="129"/>
      <c r="H22" s="130"/>
      <c r="I22" s="130"/>
      <c r="J22" s="130"/>
      <c r="K22" s="130"/>
      <c r="L22" s="130"/>
      <c r="M22" s="130"/>
      <c r="N22" s="130"/>
      <c r="O22" s="130"/>
      <c r="P22" s="131"/>
    </row>
    <row r="23" spans="1:18" ht="13.8">
      <c r="A23" s="117" t="s">
        <v>201</v>
      </c>
      <c r="B23" s="86"/>
      <c r="C23" s="88"/>
      <c r="D23" s="88"/>
      <c r="E23" s="88"/>
      <c r="F23" s="88"/>
      <c r="G23" s="88"/>
      <c r="H23" s="88"/>
      <c r="I23" s="88"/>
      <c r="J23" s="88"/>
      <c r="K23" s="88"/>
      <c r="L23" s="88"/>
      <c r="M23" s="88"/>
      <c r="N23" s="89"/>
      <c r="O23" s="88"/>
      <c r="P23" s="88"/>
    </row>
    <row r="24" spans="1:18">
      <c r="A24" s="95" t="s">
        <v>11</v>
      </c>
      <c r="B24" s="96">
        <f>ServiceAssessment!C22</f>
        <v>0.9607</v>
      </c>
      <c r="C24" s="96">
        <f>ServiceAssessment!D22</f>
        <v>0.94820000000000004</v>
      </c>
      <c r="D24" s="96">
        <f>ServiceAssessment!E22</f>
        <v>0.95069999999999999</v>
      </c>
      <c r="E24" s="96">
        <f>ServiceAssessment!F22</f>
        <v>0.94899999999999995</v>
      </c>
      <c r="F24" s="96">
        <f>ServiceAssessment!G22</f>
        <v>0.95269999999999999</v>
      </c>
      <c r="G24" s="96">
        <f>ServiceAssessment!H22</f>
        <v>0.95889999999999997</v>
      </c>
      <c r="H24" s="96">
        <f>ServiceAssessment!I22</f>
        <v>0</v>
      </c>
      <c r="I24" s="96">
        <f>ServiceAssessment!J22</f>
        <v>0</v>
      </c>
      <c r="J24" s="96">
        <f>ServiceAssessment!K22</f>
        <v>0</v>
      </c>
      <c r="K24" s="96">
        <f>ServiceAssessment!L22</f>
        <v>0</v>
      </c>
      <c r="L24" s="96">
        <f>ServiceAssessment!M22</f>
        <v>0</v>
      </c>
      <c r="M24" s="96">
        <f>ServiceAssessment!N22</f>
        <v>0</v>
      </c>
      <c r="N24" s="111">
        <f>ServiceAssessment!O22</f>
        <v>0.95336666666666658</v>
      </c>
      <c r="O24" s="111">
        <v>0.92450833333333327</v>
      </c>
      <c r="P24" s="97" t="s">
        <v>211</v>
      </c>
    </row>
    <row r="25" spans="1:18">
      <c r="A25" s="87" t="s">
        <v>94</v>
      </c>
      <c r="B25" s="100">
        <f>ServiceAssessment!C20</f>
        <v>2.4334773296547718</v>
      </c>
      <c r="C25" s="100">
        <f>ServiceAssessment!D20</f>
        <v>2.4686629832312925</v>
      </c>
      <c r="D25" s="100">
        <f>ServiceAssessment!E20</f>
        <v>2.4481066026558342</v>
      </c>
      <c r="E25" s="100">
        <f>ServiceAssessment!F20</f>
        <v>2.4597515278962083</v>
      </c>
      <c r="F25" s="100">
        <f>ServiceAssessment!G20</f>
        <v>2.5022872827081426</v>
      </c>
      <c r="G25" s="100">
        <f>ServiceAssessment!H20</f>
        <v>2.4560649662133547</v>
      </c>
      <c r="H25" s="100">
        <f>ServiceAssessment!I20</f>
        <v>0</v>
      </c>
      <c r="I25" s="100">
        <f>ServiceAssessment!J20</f>
        <v>0</v>
      </c>
      <c r="J25" s="100">
        <f>ServiceAssessment!K20</f>
        <v>0</v>
      </c>
      <c r="K25" s="100">
        <f>ServiceAssessment!L20</f>
        <v>0</v>
      </c>
      <c r="L25" s="100">
        <f>ServiceAssessment!M20</f>
        <v>0</v>
      </c>
      <c r="M25" s="100">
        <f>ServiceAssessment!N20</f>
        <v>0</v>
      </c>
      <c r="N25" s="119">
        <f>ServiceAssessment!O20</f>
        <v>2.4607580002580018</v>
      </c>
      <c r="O25" s="119">
        <v>2.4223442622241951</v>
      </c>
      <c r="P25" s="121" t="s">
        <v>210</v>
      </c>
    </row>
    <row r="26" spans="1:18">
      <c r="A26" s="87" t="s">
        <v>208</v>
      </c>
      <c r="B26" s="98">
        <f>SystemOverview!B45</f>
        <v>124232</v>
      </c>
      <c r="C26" s="98">
        <f>SystemOverview!C45</f>
        <v>127770</v>
      </c>
      <c r="D26" s="98">
        <f>SystemOverview!D45</f>
        <v>116338</v>
      </c>
      <c r="E26" s="98">
        <f>SystemOverview!E45</f>
        <v>131496</v>
      </c>
      <c r="F26" s="98">
        <f>SystemOverview!F45</f>
        <v>108468</v>
      </c>
      <c r="G26" s="98">
        <f>SystemOverview!G45</f>
        <v>108532</v>
      </c>
      <c r="H26" s="98">
        <f>SystemOverview!H45</f>
        <v>0</v>
      </c>
      <c r="I26" s="98">
        <f>SystemOverview!I45</f>
        <v>0</v>
      </c>
      <c r="J26" s="98">
        <f>SystemOverview!J45</f>
        <v>0</v>
      </c>
      <c r="K26" s="98">
        <f>SystemOverview!K45</f>
        <v>0</v>
      </c>
      <c r="L26" s="98">
        <f>SystemOverview!L45</f>
        <v>0</v>
      </c>
      <c r="M26" s="98">
        <f>SystemOverview!M45</f>
        <v>0</v>
      </c>
      <c r="N26" s="102">
        <f>SUM(B26:M26)</f>
        <v>716836</v>
      </c>
      <c r="O26" s="102">
        <v>1223645.6299999999</v>
      </c>
      <c r="P26" s="132"/>
    </row>
    <row r="27" spans="1:18">
      <c r="A27" s="95" t="s">
        <v>217</v>
      </c>
      <c r="B27" s="132"/>
      <c r="C27" s="132"/>
      <c r="D27" s="132"/>
      <c r="E27" s="132"/>
      <c r="F27" s="132"/>
      <c r="G27" s="132"/>
      <c r="H27" s="132"/>
      <c r="I27" s="132"/>
      <c r="J27" s="132"/>
      <c r="K27" s="132"/>
      <c r="L27" s="132"/>
      <c r="M27" s="132"/>
      <c r="N27" s="92">
        <f>TripComparisons!E4</f>
        <v>0.22593669250645995</v>
      </c>
      <c r="O27" s="92">
        <v>0.21074653160096896</v>
      </c>
      <c r="P27" s="132"/>
    </row>
    <row r="28" spans="1:18">
      <c r="A28" s="95" t="s">
        <v>218</v>
      </c>
      <c r="B28" s="132"/>
      <c r="C28" s="132"/>
      <c r="D28" s="132"/>
      <c r="E28" s="132"/>
      <c r="F28" s="132"/>
      <c r="G28" s="132"/>
      <c r="H28" s="132"/>
      <c r="I28" s="132"/>
      <c r="J28" s="132"/>
      <c r="K28" s="132"/>
      <c r="L28" s="132"/>
      <c r="M28" s="132"/>
      <c r="N28" s="92">
        <f>TripComparisons!E5</f>
        <v>0.21181176704432519</v>
      </c>
      <c r="O28" s="92">
        <v>0.2855819392659979</v>
      </c>
      <c r="P28" s="132"/>
    </row>
    <row r="29" spans="1:18">
      <c r="A29" s="233" t="s">
        <v>304</v>
      </c>
      <c r="B29" s="132"/>
      <c r="C29" s="132"/>
      <c r="D29" s="132"/>
      <c r="E29" s="132"/>
      <c r="F29" s="132"/>
      <c r="G29" s="132"/>
      <c r="H29" s="132"/>
      <c r="I29" s="132"/>
      <c r="J29" s="132"/>
      <c r="K29" s="132"/>
      <c r="L29" s="132"/>
      <c r="M29" s="132"/>
      <c r="N29" s="92">
        <f>TripComparisons!E6</f>
        <v>0.28699562711190618</v>
      </c>
      <c r="O29" s="92">
        <v>0.2649272148774765</v>
      </c>
      <c r="P29" s="132"/>
      <c r="R29" s="243">
        <f>N27+N28+N29+N30+N31</f>
        <v>1</v>
      </c>
    </row>
    <row r="30" spans="1:18">
      <c r="A30" s="95" t="s">
        <v>219</v>
      </c>
      <c r="B30" s="132"/>
      <c r="C30" s="132"/>
      <c r="D30" s="132"/>
      <c r="E30" s="132"/>
      <c r="F30" s="132"/>
      <c r="G30" s="132"/>
      <c r="H30" s="132"/>
      <c r="I30" s="132"/>
      <c r="J30" s="132"/>
      <c r="K30" s="132"/>
      <c r="L30" s="132"/>
      <c r="M30" s="132"/>
      <c r="N30" s="92">
        <f>TripComparisons!E7</f>
        <v>5.249950308089843E-2</v>
      </c>
      <c r="O30" s="92">
        <v>6.5191473851270804E-2</v>
      </c>
      <c r="P30" s="132"/>
    </row>
    <row r="31" spans="1:18">
      <c r="A31" s="95" t="s">
        <v>213</v>
      </c>
      <c r="B31" s="132"/>
      <c r="C31" s="132"/>
      <c r="D31" s="132"/>
      <c r="E31" s="132"/>
      <c r="F31" s="132"/>
      <c r="G31" s="132"/>
      <c r="H31" s="132"/>
      <c r="I31" s="132"/>
      <c r="J31" s="132"/>
      <c r="K31" s="132"/>
      <c r="L31" s="132"/>
      <c r="M31" s="132"/>
      <c r="N31" s="92">
        <f>TripComparisons!E8</f>
        <v>0.22275641025641027</v>
      </c>
      <c r="O31" s="92">
        <v>0.17355284040428587</v>
      </c>
      <c r="P31" s="132"/>
    </row>
    <row r="32" spans="1:18" ht="7.95" customHeight="1">
      <c r="A32" s="128"/>
      <c r="B32" s="129"/>
      <c r="C32" s="129"/>
      <c r="D32" s="129"/>
      <c r="E32" s="129"/>
      <c r="F32" s="129"/>
      <c r="G32" s="129"/>
      <c r="H32" s="130"/>
      <c r="I32" s="130"/>
      <c r="J32" s="130"/>
      <c r="K32" s="130"/>
      <c r="L32" s="130"/>
      <c r="M32" s="130"/>
      <c r="N32" s="130"/>
      <c r="O32" s="130"/>
      <c r="P32" s="131"/>
    </row>
    <row r="33" spans="1:17" ht="13.8">
      <c r="A33" s="117" t="s">
        <v>183</v>
      </c>
      <c r="B33" s="88"/>
      <c r="C33" s="88"/>
      <c r="D33" s="88"/>
      <c r="E33" s="88"/>
      <c r="F33" s="88"/>
      <c r="G33" s="88"/>
      <c r="H33" s="88"/>
      <c r="I33" s="88"/>
      <c r="J33" s="88"/>
      <c r="K33" s="88"/>
      <c r="L33" s="88"/>
      <c r="M33" s="88"/>
      <c r="N33" s="235"/>
      <c r="O33" s="235"/>
      <c r="P33" s="92"/>
    </row>
    <row r="34" spans="1:17">
      <c r="A34" s="95" t="s">
        <v>14</v>
      </c>
      <c r="B34" s="101">
        <f>'3b-RM Report Data'!J85</f>
        <v>3070</v>
      </c>
      <c r="C34" s="101">
        <f>'3b-RM Report Data'!Q85</f>
        <v>3132</v>
      </c>
      <c r="D34" s="101">
        <f>'3b-RM Report Data'!X85</f>
        <v>2980</v>
      </c>
      <c r="E34" s="101">
        <f>'3b-RM Report Data'!AE85</f>
        <v>3272</v>
      </c>
      <c r="F34" s="101">
        <f>'3b-RM Report Data'!AL85</f>
        <v>2598</v>
      </c>
      <c r="G34" s="101">
        <f>'3b-RM Report Data'!AS85</f>
        <v>2699</v>
      </c>
      <c r="H34" s="101">
        <f>'3b-RM Report Data'!AZ85</f>
        <v>0</v>
      </c>
      <c r="I34" s="101">
        <f>'3b-RM Report Data'!BG85</f>
        <v>0</v>
      </c>
      <c r="J34" s="101">
        <f>'3b-RM Report Data'!BN85</f>
        <v>0</v>
      </c>
      <c r="K34" s="101">
        <f>'3b-RM Report Data'!BU85</f>
        <v>0</v>
      </c>
      <c r="L34" s="101">
        <f>'3b-RM Report Data'!CB85</f>
        <v>0</v>
      </c>
      <c r="M34" s="101">
        <f>'3b-RM Report Data'!CI85</f>
        <v>0</v>
      </c>
      <c r="N34" s="102">
        <f t="shared" ref="N34:N43" si="3">SUM(B34:M34)</f>
        <v>17751</v>
      </c>
      <c r="O34" s="102">
        <v>31184</v>
      </c>
      <c r="P34" s="132"/>
    </row>
    <row r="35" spans="1:17">
      <c r="A35" s="95" t="s">
        <v>22</v>
      </c>
      <c r="B35" s="101">
        <f>'3b-RM Report Data'!J86</f>
        <v>215</v>
      </c>
      <c r="C35" s="101">
        <f>'3b-RM Report Data'!Q86</f>
        <v>214</v>
      </c>
      <c r="D35" s="101">
        <f>'3b-RM Report Data'!X86</f>
        <v>200</v>
      </c>
      <c r="E35" s="101">
        <f>'3b-RM Report Data'!AE86</f>
        <v>221</v>
      </c>
      <c r="F35" s="101">
        <f>'3b-RM Report Data'!AL86</f>
        <v>182</v>
      </c>
      <c r="G35" s="101">
        <f>'3b-RM Report Data'!AS86</f>
        <v>190</v>
      </c>
      <c r="H35" s="101">
        <f>'3b-RM Report Data'!AZ86</f>
        <v>0</v>
      </c>
      <c r="I35" s="101">
        <f>'3b-RM Report Data'!BG86</f>
        <v>0</v>
      </c>
      <c r="J35" s="101">
        <f>'3b-RM Report Data'!BN86</f>
        <v>0</v>
      </c>
      <c r="K35" s="101">
        <f>'3b-RM Report Data'!BU86</f>
        <v>0</v>
      </c>
      <c r="L35" s="101">
        <f>'3b-RM Report Data'!CB86</f>
        <v>0</v>
      </c>
      <c r="M35" s="101">
        <f>'3b-RM Report Data'!CI86</f>
        <v>0</v>
      </c>
      <c r="N35" s="102">
        <f t="shared" si="3"/>
        <v>1222</v>
      </c>
      <c r="O35" s="102">
        <v>2954</v>
      </c>
      <c r="P35" s="132"/>
      <c r="Q35" s="107"/>
    </row>
    <row r="36" spans="1:17">
      <c r="A36" s="95" t="s">
        <v>159</v>
      </c>
      <c r="B36" s="101">
        <f>'3b-RM Report Data'!J87</f>
        <v>844</v>
      </c>
      <c r="C36" s="101">
        <f>'3b-RM Report Data'!Q87</f>
        <v>843</v>
      </c>
      <c r="D36" s="101">
        <f>'3b-RM Report Data'!X87</f>
        <v>835</v>
      </c>
      <c r="E36" s="101">
        <f>'3b-RM Report Data'!AE87</f>
        <v>837</v>
      </c>
      <c r="F36" s="101">
        <f>'3b-RM Report Data'!AL87</f>
        <v>635</v>
      </c>
      <c r="G36" s="101">
        <f>'3b-RM Report Data'!AS87</f>
        <v>668</v>
      </c>
      <c r="H36" s="101">
        <f>'3b-RM Report Data'!AZ87</f>
        <v>0</v>
      </c>
      <c r="I36" s="101">
        <f>'3b-RM Report Data'!BG87</f>
        <v>0</v>
      </c>
      <c r="J36" s="101">
        <f>'3b-RM Report Data'!BN87</f>
        <v>0</v>
      </c>
      <c r="K36" s="101">
        <f>'3b-RM Report Data'!BU87</f>
        <v>0</v>
      </c>
      <c r="L36" s="101">
        <f>'3b-RM Report Data'!CB87</f>
        <v>0</v>
      </c>
      <c r="M36" s="101">
        <f>'3b-RM Report Data'!CI87</f>
        <v>0</v>
      </c>
      <c r="N36" s="102">
        <f t="shared" si="3"/>
        <v>4662</v>
      </c>
      <c r="O36" s="102">
        <v>11110</v>
      </c>
      <c r="P36" s="132"/>
    </row>
    <row r="37" spans="1:17">
      <c r="A37" s="95" t="s">
        <v>160</v>
      </c>
      <c r="B37" s="101">
        <f>'3b-RM Report Data'!J88</f>
        <v>205</v>
      </c>
      <c r="C37" s="101">
        <f>'3b-RM Report Data'!Q88</f>
        <v>257</v>
      </c>
      <c r="D37" s="101">
        <f>'3b-RM Report Data'!X88</f>
        <v>176</v>
      </c>
      <c r="E37" s="101">
        <f>'3b-RM Report Data'!AE88</f>
        <v>285</v>
      </c>
      <c r="F37" s="101">
        <f>'3b-RM Report Data'!AL88</f>
        <v>195</v>
      </c>
      <c r="G37" s="101">
        <f>'3b-RM Report Data'!AS88</f>
        <v>227</v>
      </c>
      <c r="H37" s="101">
        <f>'3b-RM Report Data'!AZ88</f>
        <v>0</v>
      </c>
      <c r="I37" s="101">
        <f>'3b-RM Report Data'!BG88</f>
        <v>0</v>
      </c>
      <c r="J37" s="101">
        <f>'3b-RM Report Data'!BN88</f>
        <v>0</v>
      </c>
      <c r="K37" s="101">
        <f>'3b-RM Report Data'!BU88</f>
        <v>0</v>
      </c>
      <c r="L37" s="101">
        <f>'3b-RM Report Data'!CB88</f>
        <v>0</v>
      </c>
      <c r="M37" s="101">
        <f>'3b-RM Report Data'!CI88</f>
        <v>0</v>
      </c>
      <c r="N37" s="102">
        <f t="shared" si="3"/>
        <v>1345</v>
      </c>
      <c r="O37" s="102">
        <v>2320</v>
      </c>
      <c r="P37" s="132"/>
    </row>
    <row r="38" spans="1:17">
      <c r="A38" s="95" t="s">
        <v>185</v>
      </c>
      <c r="B38" s="101">
        <f>'3b-RM Report Data'!J89</f>
        <v>881</v>
      </c>
      <c r="C38" s="101">
        <f>'3b-RM Report Data'!Q89</f>
        <v>857</v>
      </c>
      <c r="D38" s="101">
        <f>'3b-RM Report Data'!X89</f>
        <v>792</v>
      </c>
      <c r="E38" s="101">
        <f>'3b-RM Report Data'!AE89</f>
        <v>902</v>
      </c>
      <c r="F38" s="101">
        <f>'3b-RM Report Data'!AL89</f>
        <v>770</v>
      </c>
      <c r="G38" s="101">
        <f>'3b-RM Report Data'!AS89</f>
        <v>809</v>
      </c>
      <c r="H38" s="101">
        <f>'3b-RM Report Data'!AZ89</f>
        <v>0</v>
      </c>
      <c r="I38" s="101">
        <f>'3b-RM Report Data'!BG89</f>
        <v>0</v>
      </c>
      <c r="J38" s="101">
        <f>'3b-RM Report Data'!BN89</f>
        <v>0</v>
      </c>
      <c r="K38" s="101">
        <f>'3b-RM Report Data'!BU89</f>
        <v>0</v>
      </c>
      <c r="L38" s="101">
        <f>'3b-RM Report Data'!CB89</f>
        <v>0</v>
      </c>
      <c r="M38" s="101">
        <f>'3b-RM Report Data'!CI89</f>
        <v>0</v>
      </c>
      <c r="N38" s="102">
        <f t="shared" si="3"/>
        <v>5011</v>
      </c>
      <c r="O38" s="102">
        <v>10358</v>
      </c>
      <c r="P38" s="132"/>
    </row>
    <row r="39" spans="1:17">
      <c r="A39" s="95" t="s">
        <v>202</v>
      </c>
      <c r="B39" s="101">
        <f>'3b-RM Report Data'!J90</f>
        <v>664</v>
      </c>
      <c r="C39" s="101">
        <f>'3b-RM Report Data'!Q90</f>
        <v>711</v>
      </c>
      <c r="D39" s="101">
        <f>'3b-RM Report Data'!X90</f>
        <v>647</v>
      </c>
      <c r="E39" s="101">
        <f>'3b-RM Report Data'!AE90</f>
        <v>736</v>
      </c>
      <c r="F39" s="101">
        <f>'3b-RM Report Data'!AL90</f>
        <v>735</v>
      </c>
      <c r="G39" s="101">
        <f>'3b-RM Report Data'!AS90</f>
        <v>742</v>
      </c>
      <c r="H39" s="101">
        <f>'3b-RM Report Data'!AZ90</f>
        <v>0</v>
      </c>
      <c r="I39" s="101">
        <f>'3b-RM Report Data'!BG90</f>
        <v>0</v>
      </c>
      <c r="J39" s="101">
        <f>'3b-RM Report Data'!BN90</f>
        <v>0</v>
      </c>
      <c r="K39" s="101">
        <f>'3b-RM Report Data'!BU90</f>
        <v>0</v>
      </c>
      <c r="L39" s="101">
        <f>'3b-RM Report Data'!CB90</f>
        <v>0</v>
      </c>
      <c r="M39" s="101">
        <f>'3b-RM Report Data'!CI90</f>
        <v>0</v>
      </c>
      <c r="N39" s="102">
        <f t="shared" si="3"/>
        <v>4235</v>
      </c>
      <c r="O39" s="102">
        <v>6638</v>
      </c>
      <c r="P39" s="132"/>
    </row>
    <row r="40" spans="1:17">
      <c r="A40" s="95" t="s">
        <v>143</v>
      </c>
      <c r="B40" s="101">
        <f>'3b-RM Report Data'!J91</f>
        <v>3190</v>
      </c>
      <c r="C40" s="101">
        <f>'3b-RM Report Data'!Q91</f>
        <v>3304</v>
      </c>
      <c r="D40" s="101">
        <f>'3b-RM Report Data'!X91</f>
        <v>2828</v>
      </c>
      <c r="E40" s="101">
        <f>'3b-RM Report Data'!AE91</f>
        <v>3216</v>
      </c>
      <c r="F40" s="101">
        <f>'3b-RM Report Data'!AL91</f>
        <v>2853</v>
      </c>
      <c r="G40" s="101">
        <f>'3b-RM Report Data'!AS91</f>
        <v>2540</v>
      </c>
      <c r="H40" s="101">
        <f>'3b-RM Report Data'!AZ91</f>
        <v>0</v>
      </c>
      <c r="I40" s="101">
        <f>'3b-RM Report Data'!BG91</f>
        <v>0</v>
      </c>
      <c r="J40" s="101">
        <f>'3b-RM Report Data'!BN91</f>
        <v>0</v>
      </c>
      <c r="K40" s="101">
        <f>'3b-RM Report Data'!BU91</f>
        <v>0</v>
      </c>
      <c r="L40" s="101">
        <f>'3b-RM Report Data'!CB91</f>
        <v>0</v>
      </c>
      <c r="M40" s="101">
        <f>'3b-RM Report Data'!CI91</f>
        <v>0</v>
      </c>
      <c r="N40" s="102">
        <f t="shared" si="3"/>
        <v>17931</v>
      </c>
      <c r="O40" s="102">
        <v>22855</v>
      </c>
      <c r="P40" s="132"/>
    </row>
    <row r="41" spans="1:17">
      <c r="A41" s="234" t="s">
        <v>304</v>
      </c>
      <c r="B41" s="101">
        <f>'3b-RM Report Data'!J92</f>
        <v>3884</v>
      </c>
      <c r="C41" s="101">
        <f>'3b-RM Report Data'!Q92</f>
        <v>3877</v>
      </c>
      <c r="D41" s="101">
        <f>'3b-RM Report Data'!X92</f>
        <v>3729</v>
      </c>
      <c r="E41" s="101">
        <f>'3b-RM Report Data'!AE92</f>
        <v>4058</v>
      </c>
      <c r="F41" s="101">
        <f>'3b-RM Report Data'!AL92</f>
        <v>3380</v>
      </c>
      <c r="G41" s="101">
        <f>'3b-RM Report Data'!AS92</f>
        <v>3470</v>
      </c>
      <c r="H41" s="101">
        <f>'3b-RM Report Data'!AZ92</f>
        <v>0</v>
      </c>
      <c r="I41" s="101">
        <f>'3b-RM Report Data'!BG92</f>
        <v>0</v>
      </c>
      <c r="J41" s="101">
        <f>'3b-RM Report Data'!BN92</f>
        <v>0</v>
      </c>
      <c r="K41" s="101">
        <f>'3b-RM Report Data'!BU92</f>
        <v>0</v>
      </c>
      <c r="L41" s="101">
        <f>'3b-RM Report Data'!CB92</f>
        <v>0</v>
      </c>
      <c r="M41" s="101">
        <f>'3b-RM Report Data'!CI92</f>
        <v>0</v>
      </c>
      <c r="N41" s="102">
        <f t="shared" si="3"/>
        <v>22398</v>
      </c>
      <c r="O41" s="102">
        <v>33523</v>
      </c>
      <c r="P41" s="132"/>
    </row>
    <row r="42" spans="1:17">
      <c r="A42" s="59" t="s">
        <v>236</v>
      </c>
      <c r="B42" s="101">
        <f>'3b-RM Report Data'!J93</f>
        <v>451</v>
      </c>
      <c r="C42" s="101">
        <f>'3b-RM Report Data'!Q93</f>
        <v>848</v>
      </c>
      <c r="D42" s="101">
        <f>'3b-RM Report Data'!X93</f>
        <v>537</v>
      </c>
      <c r="E42" s="101">
        <f>'3b-RM Report Data'!AE93</f>
        <v>945</v>
      </c>
      <c r="F42" s="101">
        <f>'3b-RM Report Data'!AL93</f>
        <v>684</v>
      </c>
      <c r="G42" s="101">
        <f>'3b-RM Report Data'!AS93</f>
        <v>538</v>
      </c>
      <c r="H42" s="101">
        <f>'3b-RM Report Data'!AZ93</f>
        <v>0</v>
      </c>
      <c r="I42" s="101">
        <f>'3b-RM Report Data'!BG93</f>
        <v>0</v>
      </c>
      <c r="J42" s="101">
        <f>'3b-RM Report Data'!BN93</f>
        <v>0</v>
      </c>
      <c r="K42" s="101">
        <f>'3b-RM Report Data'!BU93</f>
        <v>0</v>
      </c>
      <c r="L42" s="101">
        <f>'3b-RM Report Data'!CB93</f>
        <v>0</v>
      </c>
      <c r="M42" s="101">
        <f>'3b-RM Report Data'!CI93</f>
        <v>0</v>
      </c>
      <c r="N42" s="102">
        <f t="shared" si="3"/>
        <v>4003</v>
      </c>
      <c r="O42" s="102">
        <v>7813</v>
      </c>
      <c r="P42" s="132"/>
    </row>
    <row r="43" spans="1:17">
      <c r="A43" s="95" t="s">
        <v>162</v>
      </c>
      <c r="B43" s="101">
        <f>'3b-RM Report Data'!J94</f>
        <v>5</v>
      </c>
      <c r="C43" s="101">
        <f>'3b-RM Report Data'!Q94</f>
        <v>9</v>
      </c>
      <c r="D43" s="101">
        <f>'3b-RM Report Data'!X94</f>
        <v>4</v>
      </c>
      <c r="E43" s="101">
        <f>'3b-RM Report Data'!AE94</f>
        <v>9</v>
      </c>
      <c r="F43" s="101">
        <f>'3b-RM Report Data'!AL94</f>
        <v>2</v>
      </c>
      <c r="G43" s="101">
        <f>'3b-RM Report Data'!AS94</f>
        <v>6</v>
      </c>
      <c r="H43" s="101">
        <f>'3b-RM Report Data'!AZ94</f>
        <v>0</v>
      </c>
      <c r="I43" s="101">
        <f>'3b-RM Report Data'!BG94</f>
        <v>0</v>
      </c>
      <c r="J43" s="101">
        <f>'3b-RM Report Data'!BN94</f>
        <v>0</v>
      </c>
      <c r="K43" s="101">
        <f>'3b-RM Report Data'!BU94</f>
        <v>0</v>
      </c>
      <c r="L43" s="101">
        <f>'3b-RM Report Data'!CB94</f>
        <v>0</v>
      </c>
      <c r="M43" s="101">
        <f>'3b-RM Report Data'!CI94</f>
        <v>0</v>
      </c>
      <c r="N43" s="102">
        <f t="shared" si="3"/>
        <v>35</v>
      </c>
      <c r="O43" s="102">
        <v>90</v>
      </c>
      <c r="P43" s="132"/>
    </row>
    <row r="44" spans="1:17" s="110" customFormat="1">
      <c r="A44" s="108" t="s">
        <v>165</v>
      </c>
      <c r="B44" s="109">
        <f>SUM(B34:B43)</f>
        <v>13409</v>
      </c>
      <c r="C44" s="109">
        <f t="shared" ref="C44:M44" si="4">SUM(C34:C43)</f>
        <v>14052</v>
      </c>
      <c r="D44" s="109">
        <f t="shared" si="4"/>
        <v>12728</v>
      </c>
      <c r="E44" s="109">
        <f t="shared" si="4"/>
        <v>14481</v>
      </c>
      <c r="F44" s="109">
        <f t="shared" si="4"/>
        <v>12034</v>
      </c>
      <c r="G44" s="109">
        <f t="shared" si="4"/>
        <v>11889</v>
      </c>
      <c r="H44" s="109">
        <f t="shared" si="4"/>
        <v>0</v>
      </c>
      <c r="I44" s="109">
        <f t="shared" si="4"/>
        <v>0</v>
      </c>
      <c r="J44" s="109">
        <f t="shared" si="4"/>
        <v>0</v>
      </c>
      <c r="K44" s="109">
        <f t="shared" si="4"/>
        <v>0</v>
      </c>
      <c r="L44" s="109">
        <f t="shared" si="4"/>
        <v>0</v>
      </c>
      <c r="M44" s="109">
        <f t="shared" si="4"/>
        <v>0</v>
      </c>
      <c r="N44" s="109">
        <f>SUM(N34:N43)</f>
        <v>78593</v>
      </c>
      <c r="O44" s="109">
        <v>128845</v>
      </c>
      <c r="P44" s="132"/>
    </row>
    <row r="45" spans="1:17" s="110" customFormat="1">
      <c r="A45" s="118" t="s">
        <v>204</v>
      </c>
      <c r="B45" s="109">
        <f>SystemOverview!B17+SystemOverview!B18</f>
        <v>698</v>
      </c>
      <c r="C45" s="109">
        <f>SystemOverview!C17+SystemOverview!C18</f>
        <v>703</v>
      </c>
      <c r="D45" s="109">
        <f>SystemOverview!D17+SystemOverview!D18</f>
        <v>740</v>
      </c>
      <c r="E45" s="109">
        <f>SystemOverview!E17+SystemOverview!E18</f>
        <v>887</v>
      </c>
      <c r="F45" s="109">
        <f>SystemOverview!F17+SystemOverview!F18</f>
        <v>571</v>
      </c>
      <c r="G45" s="109">
        <f>SystemOverview!G17+SystemOverview!G18</f>
        <v>672</v>
      </c>
      <c r="H45" s="109">
        <f>SystemOverview!H17+SystemOverview!H18</f>
        <v>0</v>
      </c>
      <c r="I45" s="109">
        <f>SystemOverview!I17+SystemOverview!I18</f>
        <v>0</v>
      </c>
      <c r="J45" s="109">
        <f>SystemOverview!J17+SystemOverview!J18</f>
        <v>0</v>
      </c>
      <c r="K45" s="109">
        <f>SystemOverview!K17+SystemOverview!K18</f>
        <v>0</v>
      </c>
      <c r="L45" s="109">
        <f>SystemOverview!L17+SystemOverview!L18</f>
        <v>0</v>
      </c>
      <c r="M45" s="109">
        <f>SystemOverview!M17+SystemOverview!M18</f>
        <v>0</v>
      </c>
      <c r="N45" s="109">
        <f>SUM(B45:M45)</f>
        <v>4271</v>
      </c>
      <c r="O45" s="109">
        <v>6494</v>
      </c>
      <c r="P45" s="132"/>
    </row>
    <row r="46" spans="1:17" s="110" customFormat="1">
      <c r="A46" s="118" t="s">
        <v>115</v>
      </c>
      <c r="B46" s="109">
        <f>'OpStatTotals(AllServices)'!C12</f>
        <v>13721</v>
      </c>
      <c r="C46" s="109">
        <f>'OpStatTotals(AllServices)'!D12</f>
        <v>14302</v>
      </c>
      <c r="D46" s="109">
        <f>'OpStatTotals(AllServices)'!E12</f>
        <v>13100</v>
      </c>
      <c r="E46" s="109">
        <f>'OpStatTotals(AllServices)'!F12</f>
        <v>14931</v>
      </c>
      <c r="F46" s="109">
        <f>'OpStatTotals(AllServices)'!G12</f>
        <v>12274</v>
      </c>
      <c r="G46" s="109">
        <f>'OpStatTotals(AllServices)'!H12</f>
        <v>12170.206</v>
      </c>
      <c r="H46" s="109">
        <f>'OpStatTotals(AllServices)'!I12</f>
        <v>0</v>
      </c>
      <c r="I46" s="109">
        <f>'OpStatTotals(AllServices)'!J12</f>
        <v>0</v>
      </c>
      <c r="J46" s="109">
        <f>'OpStatTotals(AllServices)'!K12</f>
        <v>0</v>
      </c>
      <c r="K46" s="109">
        <f>'OpStatTotals(AllServices)'!L12</f>
        <v>0</v>
      </c>
      <c r="L46" s="109">
        <f>'OpStatTotals(AllServices)'!M12</f>
        <v>0</v>
      </c>
      <c r="M46" s="109">
        <f>'OpStatTotals(AllServices)'!N12</f>
        <v>0</v>
      </c>
      <c r="N46" s="109">
        <f>SUM(B46:M46)</f>
        <v>80498.206000000006</v>
      </c>
      <c r="O46" s="109">
        <v>131689</v>
      </c>
      <c r="P46" s="132"/>
    </row>
    <row r="47" spans="1:17" ht="7.95" customHeight="1">
      <c r="A47" s="128"/>
      <c r="B47" s="129"/>
      <c r="C47" s="129"/>
      <c r="D47" s="129"/>
      <c r="E47" s="129"/>
      <c r="F47" s="129"/>
      <c r="G47" s="129"/>
      <c r="H47" s="130"/>
      <c r="I47" s="130"/>
      <c r="J47" s="130"/>
      <c r="K47" s="130"/>
      <c r="L47" s="130"/>
      <c r="M47" s="130"/>
      <c r="N47" s="130"/>
      <c r="O47" s="130"/>
      <c r="P47" s="131"/>
    </row>
    <row r="48" spans="1:17" ht="13.8">
      <c r="A48" s="117" t="s">
        <v>213</v>
      </c>
      <c r="B48" s="103"/>
      <c r="C48" s="88"/>
      <c r="D48" s="88"/>
      <c r="E48" s="88"/>
      <c r="F48" s="88"/>
      <c r="G48" s="88"/>
      <c r="H48" s="88"/>
      <c r="I48" s="88"/>
      <c r="J48" s="88"/>
      <c r="K48" s="88"/>
      <c r="L48" s="88"/>
      <c r="M48" s="88"/>
      <c r="N48" s="99"/>
      <c r="O48" s="102"/>
      <c r="P48" s="92"/>
    </row>
    <row r="49" spans="1:16">
      <c r="A49" s="95" t="s">
        <v>214</v>
      </c>
      <c r="B49" s="98">
        <f>SystemOverview!B10</f>
        <v>1270</v>
      </c>
      <c r="C49" s="98">
        <f>SystemOverview!C10</f>
        <v>1349</v>
      </c>
      <c r="D49" s="98">
        <f>SystemOverview!D10</f>
        <v>1192</v>
      </c>
      <c r="E49" s="98">
        <f>SystemOverview!E10</f>
        <v>1309</v>
      </c>
      <c r="F49" s="98">
        <f>SystemOverview!F10</f>
        <v>1103</v>
      </c>
      <c r="G49" s="98">
        <f>SystemOverview!G10</f>
        <v>895</v>
      </c>
      <c r="H49" s="98">
        <f>SystemOverview!H10</f>
        <v>0</v>
      </c>
      <c r="I49" s="98">
        <f>SystemOverview!I10</f>
        <v>0</v>
      </c>
      <c r="J49" s="98">
        <f>SystemOverview!J10</f>
        <v>0</v>
      </c>
      <c r="K49" s="98">
        <f>SystemOverview!K10</f>
        <v>0</v>
      </c>
      <c r="L49" s="98">
        <f>SystemOverview!L10</f>
        <v>0</v>
      </c>
      <c r="M49" s="98">
        <f>SystemOverview!M10</f>
        <v>0</v>
      </c>
      <c r="N49" s="102">
        <f>SUM(B49:M49)</f>
        <v>7118</v>
      </c>
      <c r="O49" s="102">
        <v>8107</v>
      </c>
      <c r="P49" s="132"/>
    </row>
    <row r="50" spans="1:16">
      <c r="A50" s="95" t="s">
        <v>215</v>
      </c>
      <c r="B50" s="98">
        <f>SystemOverview!B11</f>
        <v>1383</v>
      </c>
      <c r="C50" s="98">
        <f>SystemOverview!C11</f>
        <v>1437</v>
      </c>
      <c r="D50" s="98">
        <f>SystemOverview!D11</f>
        <v>1098</v>
      </c>
      <c r="E50" s="98">
        <f>SystemOverview!E11</f>
        <v>1303</v>
      </c>
      <c r="F50" s="98">
        <f>SystemOverview!F11</f>
        <v>1245</v>
      </c>
      <c r="G50" s="98">
        <f>SystemOverview!G11</f>
        <v>1182</v>
      </c>
      <c r="H50" s="98">
        <f>SystemOverview!H11</f>
        <v>0</v>
      </c>
      <c r="I50" s="98">
        <f>SystemOverview!I11</f>
        <v>0</v>
      </c>
      <c r="J50" s="98">
        <f>SystemOverview!J11</f>
        <v>0</v>
      </c>
      <c r="K50" s="98">
        <f>SystemOverview!K11</f>
        <v>0</v>
      </c>
      <c r="L50" s="98">
        <f>SystemOverview!L11</f>
        <v>0</v>
      </c>
      <c r="M50" s="98">
        <f>SystemOverview!M11</f>
        <v>0</v>
      </c>
      <c r="N50" s="102">
        <f>SUM(B50:M50)</f>
        <v>7648</v>
      </c>
      <c r="O50" s="102">
        <v>8284</v>
      </c>
      <c r="P50" s="132"/>
    </row>
    <row r="51" spans="1:16">
      <c r="A51" s="95" t="s">
        <v>216</v>
      </c>
      <c r="B51" s="98">
        <f>SystemOverview!B12</f>
        <v>537</v>
      </c>
      <c r="C51" s="98">
        <f>SystemOverview!C12</f>
        <v>518</v>
      </c>
      <c r="D51" s="98">
        <f>SystemOverview!D12</f>
        <v>538</v>
      </c>
      <c r="E51" s="98">
        <f>SystemOverview!E12</f>
        <v>604</v>
      </c>
      <c r="F51" s="98">
        <f>SystemOverview!F12</f>
        <v>505</v>
      </c>
      <c r="G51" s="98">
        <f>SystemOverview!G12</f>
        <v>463</v>
      </c>
      <c r="H51" s="98">
        <f>SystemOverview!H12</f>
        <v>0</v>
      </c>
      <c r="I51" s="98">
        <f>SystemOverview!I12</f>
        <v>0</v>
      </c>
      <c r="J51" s="98">
        <f>SystemOverview!J12</f>
        <v>0</v>
      </c>
      <c r="K51" s="98">
        <f>SystemOverview!K12</f>
        <v>0</v>
      </c>
      <c r="L51" s="98">
        <f>SystemOverview!L12</f>
        <v>0</v>
      </c>
      <c r="M51" s="98">
        <f>SystemOverview!M12</f>
        <v>0</v>
      </c>
      <c r="N51" s="102">
        <f>SUM(B51:M51)</f>
        <v>3165</v>
      </c>
      <c r="O51" s="102">
        <v>6464</v>
      </c>
      <c r="P51" s="132"/>
    </row>
    <row r="52" spans="1:16" ht="7.95" customHeight="1">
      <c r="A52" s="128"/>
      <c r="B52" s="129"/>
      <c r="C52" s="129"/>
      <c r="D52" s="129"/>
      <c r="E52" s="129"/>
      <c r="F52" s="129"/>
      <c r="G52" s="129"/>
      <c r="H52" s="130"/>
      <c r="I52" s="130"/>
      <c r="J52" s="130"/>
      <c r="K52" s="130"/>
      <c r="L52" s="130"/>
      <c r="M52" s="130"/>
      <c r="N52" s="130"/>
      <c r="O52" s="130"/>
      <c r="P52" s="131"/>
    </row>
    <row r="53" spans="1:16" ht="13.8">
      <c r="A53" s="117" t="s">
        <v>207</v>
      </c>
      <c r="B53" s="104"/>
      <c r="C53" s="104"/>
      <c r="D53" s="104"/>
      <c r="E53" s="104"/>
      <c r="F53" s="104"/>
      <c r="G53" s="104"/>
      <c r="H53" s="104"/>
      <c r="I53" s="104"/>
      <c r="J53" s="104"/>
      <c r="K53" s="104"/>
      <c r="L53" s="104"/>
      <c r="M53" s="104"/>
      <c r="N53" s="89"/>
      <c r="O53" s="88"/>
      <c r="P53" s="92"/>
    </row>
    <row r="54" spans="1:16">
      <c r="A54" s="87" t="s">
        <v>205</v>
      </c>
      <c r="B54" s="252" t="e">
        <f>SystemOverview!#REF!</f>
        <v>#REF!</v>
      </c>
      <c r="C54" s="252" t="e">
        <f>SystemOverview!#REF!</f>
        <v>#REF!</v>
      </c>
      <c r="D54" s="252" t="e">
        <f>SystemOverview!#REF!</f>
        <v>#REF!</v>
      </c>
      <c r="E54" s="252" t="e">
        <f>SystemOverview!#REF!</f>
        <v>#REF!</v>
      </c>
      <c r="F54" s="252" t="e">
        <f>SystemOverview!#REF!</f>
        <v>#REF!</v>
      </c>
      <c r="G54" s="252" t="e">
        <f>SystemOverview!#REF!</f>
        <v>#REF!</v>
      </c>
      <c r="H54" s="252" t="e">
        <f>SystemOverview!#REF!</f>
        <v>#REF!</v>
      </c>
      <c r="I54" s="252" t="e">
        <f>SystemOverview!#REF!</f>
        <v>#REF!</v>
      </c>
      <c r="J54" s="252" t="e">
        <f>SystemOverview!#REF!</f>
        <v>#REF!</v>
      </c>
      <c r="K54" s="252" t="e">
        <f>SystemOverview!#REF!</f>
        <v>#REF!</v>
      </c>
      <c r="L54" s="252" t="e">
        <f>SystemOverview!#REF!</f>
        <v>#REF!</v>
      </c>
      <c r="M54" s="252" t="e">
        <f>SystemOverview!#REF!</f>
        <v>#REF!</v>
      </c>
      <c r="N54" s="252" t="e">
        <f>SystemOverview!#REF!</f>
        <v>#REF!</v>
      </c>
      <c r="O54" s="252">
        <v>1700170.0199999998</v>
      </c>
      <c r="P54" s="132"/>
    </row>
    <row r="55" spans="1:16">
      <c r="A55" s="87" t="s">
        <v>206</v>
      </c>
      <c r="B55" s="105" t="e">
        <f t="shared" ref="B55:N55" si="5">IF(B54=0,0,B54/B44)</f>
        <v>#REF!</v>
      </c>
      <c r="C55" s="105" t="e">
        <f t="shared" si="5"/>
        <v>#REF!</v>
      </c>
      <c r="D55" s="105" t="e">
        <f t="shared" si="5"/>
        <v>#REF!</v>
      </c>
      <c r="E55" s="105" t="e">
        <f t="shared" si="5"/>
        <v>#REF!</v>
      </c>
      <c r="F55" s="105" t="e">
        <f t="shared" si="5"/>
        <v>#REF!</v>
      </c>
      <c r="G55" s="105" t="e">
        <f t="shared" si="5"/>
        <v>#REF!</v>
      </c>
      <c r="H55" s="105" t="e">
        <f t="shared" si="5"/>
        <v>#REF!</v>
      </c>
      <c r="I55" s="105" t="e">
        <f t="shared" si="5"/>
        <v>#REF!</v>
      </c>
      <c r="J55" s="105" t="e">
        <f t="shared" si="5"/>
        <v>#REF!</v>
      </c>
      <c r="K55" s="105" t="e">
        <f t="shared" si="5"/>
        <v>#REF!</v>
      </c>
      <c r="L55" s="105" t="e">
        <f t="shared" si="5"/>
        <v>#REF!</v>
      </c>
      <c r="M55" s="105" t="e">
        <f t="shared" si="5"/>
        <v>#REF!</v>
      </c>
      <c r="N55" s="106" t="e">
        <f t="shared" si="5"/>
        <v>#REF!</v>
      </c>
      <c r="O55" s="106">
        <v>13.195467577321587</v>
      </c>
      <c r="P55" s="132"/>
    </row>
    <row r="56" spans="1:16">
      <c r="A56" s="233" t="s">
        <v>338</v>
      </c>
      <c r="B56" s="105" t="e">
        <f>IF(B55=0,0,B54/B46)</f>
        <v>#REF!</v>
      </c>
      <c r="C56" s="105" t="e">
        <f t="shared" ref="C56:N56" si="6">IF(C55=0,0,C54/C46)</f>
        <v>#REF!</v>
      </c>
      <c r="D56" s="105" t="e">
        <f t="shared" si="6"/>
        <v>#REF!</v>
      </c>
      <c r="E56" s="105" t="e">
        <f t="shared" si="6"/>
        <v>#REF!</v>
      </c>
      <c r="F56" s="105" t="e">
        <f t="shared" si="6"/>
        <v>#REF!</v>
      </c>
      <c r="G56" s="105" t="e">
        <f t="shared" si="6"/>
        <v>#REF!</v>
      </c>
      <c r="H56" s="105" t="e">
        <f t="shared" si="6"/>
        <v>#REF!</v>
      </c>
      <c r="I56" s="105" t="e">
        <f t="shared" si="6"/>
        <v>#REF!</v>
      </c>
      <c r="J56" s="105" t="e">
        <f t="shared" si="6"/>
        <v>#REF!</v>
      </c>
      <c r="K56" s="105" t="e">
        <f t="shared" si="6"/>
        <v>#REF!</v>
      </c>
      <c r="L56" s="105" t="e">
        <f t="shared" si="6"/>
        <v>#REF!</v>
      </c>
      <c r="M56" s="105" t="e">
        <f t="shared" si="6"/>
        <v>#REF!</v>
      </c>
      <c r="N56" s="105" t="e">
        <f t="shared" si="6"/>
        <v>#REF!</v>
      </c>
      <c r="O56" s="105">
        <v>12.910493814973155</v>
      </c>
      <c r="P56" s="132"/>
    </row>
    <row r="57" spans="1:16" ht="7.95" customHeight="1">
      <c r="A57" s="128"/>
      <c r="B57" s="129"/>
      <c r="C57" s="129"/>
      <c r="D57" s="129"/>
      <c r="E57" s="129"/>
      <c r="F57" s="129"/>
      <c r="G57" s="129"/>
      <c r="H57" s="130"/>
      <c r="I57" s="130"/>
      <c r="J57" s="130"/>
      <c r="K57" s="130"/>
      <c r="L57" s="130"/>
      <c r="M57" s="130"/>
      <c r="N57" s="130"/>
      <c r="O57" s="130"/>
      <c r="P57" s="131"/>
    </row>
    <row r="58" spans="1:16" s="124" customFormat="1">
      <c r="A58" s="123"/>
      <c r="O58" s="125"/>
    </row>
    <row r="59" spans="1:16" s="124" customFormat="1">
      <c r="B59" s="125"/>
      <c r="C59" s="125"/>
      <c r="D59" s="125"/>
      <c r="E59" s="125"/>
      <c r="F59" s="125"/>
      <c r="G59" s="125"/>
      <c r="H59" s="125"/>
      <c r="I59" s="125"/>
      <c r="J59" s="125"/>
      <c r="K59" s="125"/>
      <c r="L59" s="125"/>
      <c r="M59" s="125"/>
      <c r="N59" s="125"/>
      <c r="O59" s="125"/>
    </row>
    <row r="60" spans="1:16" s="124" customFormat="1">
      <c r="B60" s="125"/>
      <c r="C60" s="125"/>
      <c r="D60" s="125"/>
      <c r="E60" s="125"/>
      <c r="F60" s="125"/>
      <c r="G60" s="125"/>
      <c r="H60" s="125"/>
      <c r="I60" s="125"/>
      <c r="J60" s="125"/>
      <c r="K60" s="125"/>
      <c r="L60" s="125"/>
      <c r="M60" s="125"/>
      <c r="N60" s="125"/>
      <c r="O60" s="125"/>
    </row>
    <row r="61" spans="1:16" s="124" customFormat="1">
      <c r="A61" s="127" t="s">
        <v>220</v>
      </c>
      <c r="B61" s="126"/>
      <c r="O61" s="125"/>
    </row>
    <row r="62" spans="1:16" s="124" customFormat="1">
      <c r="A62" s="133" t="s">
        <v>221</v>
      </c>
      <c r="B62" s="134"/>
      <c r="O62" s="125"/>
    </row>
    <row r="63" spans="1:16" s="124" customFormat="1">
      <c r="O63" s="125"/>
    </row>
    <row r="64" spans="1:16" s="124" customFormat="1">
      <c r="O64" s="125"/>
    </row>
    <row r="65" spans="15:15" s="124" customFormat="1">
      <c r="O65" s="125"/>
    </row>
    <row r="66" spans="15:15" s="124" customFormat="1">
      <c r="O66" s="125"/>
    </row>
    <row r="67" spans="15:15" s="124" customFormat="1">
      <c r="O67" s="125"/>
    </row>
    <row r="68" spans="15:15" s="124" customFormat="1">
      <c r="O68" s="125"/>
    </row>
    <row r="69" spans="15:15" s="124" customFormat="1">
      <c r="O69" s="125"/>
    </row>
    <row r="70" spans="15:15" s="124" customFormat="1">
      <c r="O70" s="125"/>
    </row>
    <row r="71" spans="15:15" s="124" customFormat="1">
      <c r="O71" s="125"/>
    </row>
    <row r="72" spans="15:15" s="124" customFormat="1">
      <c r="O72" s="125"/>
    </row>
    <row r="73" spans="15:15" s="124" customFormat="1">
      <c r="O73" s="125"/>
    </row>
    <row r="74" spans="15:15" s="124" customFormat="1">
      <c r="O74" s="125"/>
    </row>
    <row r="75" spans="15:15" s="124" customFormat="1">
      <c r="O75" s="125"/>
    </row>
    <row r="76" spans="15:15" s="124" customFormat="1">
      <c r="O76" s="125"/>
    </row>
    <row r="77" spans="15:15" s="124" customFormat="1">
      <c r="O77" s="125"/>
    </row>
    <row r="78" spans="15:15" s="124" customFormat="1">
      <c r="O78" s="125"/>
    </row>
    <row r="79" spans="15:15" s="124" customFormat="1">
      <c r="O79" s="125"/>
    </row>
    <row r="80" spans="15:15" s="124" customFormat="1">
      <c r="O80" s="125"/>
    </row>
    <row r="81" spans="15:15" s="124" customFormat="1">
      <c r="O81" s="125"/>
    </row>
    <row r="82" spans="15:15" s="124" customFormat="1">
      <c r="O82" s="125"/>
    </row>
    <row r="83" spans="15:15" s="124" customFormat="1">
      <c r="O83" s="125"/>
    </row>
    <row r="84" spans="15:15" s="124" customFormat="1">
      <c r="O84" s="125"/>
    </row>
    <row r="85" spans="15:15" s="124" customFormat="1">
      <c r="O85" s="125"/>
    </row>
    <row r="86" spans="15:15" s="124" customFormat="1">
      <c r="O86" s="125"/>
    </row>
    <row r="87" spans="15:15" s="124" customFormat="1">
      <c r="O87" s="125"/>
    </row>
    <row r="88" spans="15:15" s="124" customFormat="1">
      <c r="O88" s="125"/>
    </row>
    <row r="89" spans="15:15" s="124" customFormat="1">
      <c r="O89" s="125"/>
    </row>
    <row r="90" spans="15:15" s="124" customFormat="1">
      <c r="O90" s="125"/>
    </row>
    <row r="91" spans="15:15" s="124" customFormat="1">
      <c r="O91" s="125"/>
    </row>
    <row r="92" spans="15:15" s="124" customFormat="1">
      <c r="O92" s="125"/>
    </row>
    <row r="93" spans="15:15" s="124" customFormat="1">
      <c r="O93" s="125"/>
    </row>
    <row r="94" spans="15:15" s="124" customFormat="1">
      <c r="O94" s="125"/>
    </row>
    <row r="95" spans="15:15" s="124" customFormat="1">
      <c r="O95" s="125"/>
    </row>
    <row r="96" spans="15:15" s="124" customFormat="1">
      <c r="O96" s="125"/>
    </row>
    <row r="97" spans="15:15" s="124" customFormat="1">
      <c r="O97" s="125"/>
    </row>
    <row r="98" spans="15:15" s="124" customFormat="1">
      <c r="O98" s="125"/>
    </row>
    <row r="99" spans="15:15" s="124" customFormat="1">
      <c r="O99" s="125"/>
    </row>
    <row r="100" spans="15:15" s="124" customFormat="1">
      <c r="O100" s="125"/>
    </row>
    <row r="101" spans="15:15" s="124" customFormat="1">
      <c r="O101" s="125"/>
    </row>
    <row r="102" spans="15:15" s="124" customFormat="1">
      <c r="O102" s="125"/>
    </row>
    <row r="103" spans="15:15" s="124" customFormat="1">
      <c r="O103" s="125"/>
    </row>
    <row r="104" spans="15:15" s="124" customFormat="1">
      <c r="O104" s="125"/>
    </row>
    <row r="105" spans="15:15" s="124" customFormat="1">
      <c r="O105" s="125"/>
    </row>
    <row r="106" spans="15:15" s="124" customFormat="1">
      <c r="O106" s="125"/>
    </row>
    <row r="107" spans="15:15" s="124" customFormat="1">
      <c r="O107" s="125"/>
    </row>
    <row r="108" spans="15:15" s="124" customFormat="1">
      <c r="O108" s="125"/>
    </row>
    <row r="109" spans="15:15" s="124" customFormat="1">
      <c r="O109" s="125"/>
    </row>
    <row r="110" spans="15:15" s="124" customFormat="1">
      <c r="O110" s="125"/>
    </row>
    <row r="111" spans="15:15" s="124" customFormat="1">
      <c r="O111" s="125"/>
    </row>
    <row r="112" spans="15:15" s="124" customFormat="1">
      <c r="O112" s="125"/>
    </row>
    <row r="113" spans="15:15" s="124" customFormat="1">
      <c r="O113" s="125"/>
    </row>
    <row r="114" spans="15:15" s="124" customFormat="1">
      <c r="O114" s="125"/>
    </row>
    <row r="115" spans="15:15" s="124" customFormat="1">
      <c r="O115" s="125"/>
    </row>
    <row r="116" spans="15:15" s="124" customFormat="1">
      <c r="O116" s="125"/>
    </row>
    <row r="117" spans="15:15" s="124" customFormat="1">
      <c r="O117" s="125"/>
    </row>
    <row r="118" spans="15:15" s="124" customFormat="1">
      <c r="O118" s="125"/>
    </row>
    <row r="119" spans="15:15" s="124" customFormat="1">
      <c r="O119" s="125"/>
    </row>
    <row r="120" spans="15:15" s="124" customFormat="1">
      <c r="O120" s="125"/>
    </row>
    <row r="121" spans="15:15" s="124" customFormat="1">
      <c r="O121" s="125"/>
    </row>
    <row r="122" spans="15:15" s="124" customFormat="1">
      <c r="O122" s="125"/>
    </row>
    <row r="123" spans="15:15" s="124" customFormat="1">
      <c r="O123" s="125"/>
    </row>
    <row r="124" spans="15:15" s="124" customFormat="1">
      <c r="O124" s="125"/>
    </row>
    <row r="125" spans="15:15" s="124" customFormat="1">
      <c r="O125" s="125"/>
    </row>
    <row r="126" spans="15:15" s="124" customFormat="1">
      <c r="O126" s="125"/>
    </row>
    <row r="127" spans="15:15" s="124" customFormat="1">
      <c r="O127" s="125"/>
    </row>
    <row r="128" spans="15:15" s="124" customFormat="1">
      <c r="O128" s="125"/>
    </row>
    <row r="129" spans="15:15" s="124" customFormat="1">
      <c r="O129" s="125"/>
    </row>
    <row r="130" spans="15:15" s="124" customFormat="1">
      <c r="O130" s="125"/>
    </row>
    <row r="131" spans="15:15" s="124" customFormat="1">
      <c r="O131" s="125"/>
    </row>
    <row r="132" spans="15:15" s="124" customFormat="1">
      <c r="O132" s="125"/>
    </row>
    <row r="133" spans="15:15" s="124" customFormat="1">
      <c r="O133" s="125"/>
    </row>
    <row r="134" spans="15:15" s="124" customFormat="1">
      <c r="O134" s="125"/>
    </row>
    <row r="135" spans="15:15" s="124" customFormat="1">
      <c r="O135" s="125"/>
    </row>
    <row r="136" spans="15:15" s="124" customFormat="1">
      <c r="O136" s="125"/>
    </row>
    <row r="137" spans="15:15" s="124" customFormat="1">
      <c r="O137" s="125"/>
    </row>
    <row r="138" spans="15:15" s="124" customFormat="1">
      <c r="O138" s="125"/>
    </row>
    <row r="139" spans="15:15" s="124" customFormat="1">
      <c r="O139" s="125"/>
    </row>
    <row r="140" spans="15:15" s="124" customFormat="1">
      <c r="O140" s="125"/>
    </row>
    <row r="141" spans="15:15" s="124" customFormat="1">
      <c r="O141" s="125"/>
    </row>
    <row r="142" spans="15:15" s="124" customFormat="1">
      <c r="O142" s="125"/>
    </row>
    <row r="143" spans="15:15" s="124" customFormat="1">
      <c r="O143" s="125"/>
    </row>
    <row r="144" spans="15:15" s="124" customFormat="1">
      <c r="O144" s="125"/>
    </row>
    <row r="145" spans="15:15" s="124" customFormat="1">
      <c r="O145" s="125"/>
    </row>
    <row r="146" spans="15:15" s="124" customFormat="1">
      <c r="O146" s="125"/>
    </row>
    <row r="147" spans="15:15" s="124" customFormat="1">
      <c r="O147" s="125"/>
    </row>
    <row r="148" spans="15:15" s="124" customFormat="1">
      <c r="O148" s="125"/>
    </row>
    <row r="149" spans="15:15" s="124" customFormat="1">
      <c r="O149" s="125"/>
    </row>
    <row r="150" spans="15:15" s="124" customFormat="1">
      <c r="O150" s="125"/>
    </row>
    <row r="151" spans="15:15" s="124" customFormat="1">
      <c r="O151" s="125"/>
    </row>
    <row r="152" spans="15:15" s="124" customFormat="1">
      <c r="O152" s="125"/>
    </row>
    <row r="153" spans="15:15" s="124" customFormat="1">
      <c r="O153" s="125"/>
    </row>
    <row r="154" spans="15:15" s="124" customFormat="1">
      <c r="O154" s="125"/>
    </row>
    <row r="155" spans="15:15" s="124" customFormat="1">
      <c r="O155" s="125"/>
    </row>
    <row r="156" spans="15:15" s="124" customFormat="1">
      <c r="O156" s="125"/>
    </row>
    <row r="157" spans="15:15" s="124" customFormat="1">
      <c r="O157" s="125"/>
    </row>
    <row r="158" spans="15:15" s="124" customFormat="1">
      <c r="O158" s="125"/>
    </row>
    <row r="159" spans="15:15" s="124" customFormat="1">
      <c r="O159" s="125"/>
    </row>
    <row r="160" spans="15:15" s="124" customFormat="1">
      <c r="O160" s="125"/>
    </row>
    <row r="161" spans="15:15" s="124" customFormat="1">
      <c r="O161" s="125"/>
    </row>
    <row r="162" spans="15:15" s="124" customFormat="1">
      <c r="O162" s="125"/>
    </row>
    <row r="163" spans="15:15" s="124" customFormat="1">
      <c r="O163" s="125"/>
    </row>
    <row r="164" spans="15:15" s="124" customFormat="1">
      <c r="O164" s="125"/>
    </row>
    <row r="165" spans="15:15" s="124" customFormat="1">
      <c r="O165" s="125"/>
    </row>
    <row r="166" spans="15:15" s="124" customFormat="1">
      <c r="O166" s="125"/>
    </row>
    <row r="167" spans="15:15" s="124" customFormat="1">
      <c r="O167" s="125"/>
    </row>
    <row r="168" spans="15:15" s="124" customFormat="1">
      <c r="O168" s="125"/>
    </row>
    <row r="169" spans="15:15" s="124" customFormat="1">
      <c r="O169" s="125"/>
    </row>
    <row r="170" spans="15:15" s="124" customFormat="1">
      <c r="O170" s="125"/>
    </row>
    <row r="171" spans="15:15" s="124" customFormat="1">
      <c r="O171" s="125"/>
    </row>
    <row r="172" spans="15:15" s="124" customFormat="1">
      <c r="O172" s="125"/>
    </row>
    <row r="173" spans="15:15" s="124" customFormat="1">
      <c r="O173" s="125"/>
    </row>
    <row r="174" spans="15:15" s="124" customFormat="1">
      <c r="O174" s="125"/>
    </row>
    <row r="175" spans="15:15" s="124" customFormat="1">
      <c r="O175" s="125"/>
    </row>
    <row r="176" spans="15:15" s="124" customFormat="1">
      <c r="O176" s="125"/>
    </row>
    <row r="177" spans="15:15" s="124" customFormat="1">
      <c r="O177" s="125"/>
    </row>
    <row r="178" spans="15:15" s="124" customFormat="1">
      <c r="O178" s="125"/>
    </row>
    <row r="179" spans="15:15" s="124" customFormat="1">
      <c r="O179" s="125"/>
    </row>
    <row r="180" spans="15:15" s="124" customFormat="1">
      <c r="O180" s="125"/>
    </row>
    <row r="181" spans="15:15" s="124" customFormat="1">
      <c r="O181" s="125"/>
    </row>
    <row r="182" spans="15:15" s="124" customFormat="1">
      <c r="O182" s="125"/>
    </row>
    <row r="183" spans="15:15" s="124" customFormat="1">
      <c r="O183" s="125"/>
    </row>
    <row r="184" spans="15:15" s="124" customFormat="1">
      <c r="O184" s="125"/>
    </row>
    <row r="185" spans="15:15" s="124" customFormat="1">
      <c r="O185" s="125"/>
    </row>
    <row r="186" spans="15:15" s="124" customFormat="1">
      <c r="O186" s="125"/>
    </row>
    <row r="187" spans="15:15" s="124" customFormat="1">
      <c r="O187" s="125"/>
    </row>
    <row r="188" spans="15:15" s="124" customFormat="1">
      <c r="O188" s="125"/>
    </row>
    <row r="189" spans="15:15" s="124" customFormat="1">
      <c r="O189" s="125"/>
    </row>
    <row r="190" spans="15:15" s="124" customFormat="1">
      <c r="O190" s="125"/>
    </row>
    <row r="191" spans="15:15" s="124" customFormat="1">
      <c r="O191" s="125"/>
    </row>
    <row r="192" spans="15:15" s="124" customFormat="1">
      <c r="O192" s="125"/>
    </row>
    <row r="193" spans="15:15" s="124" customFormat="1">
      <c r="O193" s="125"/>
    </row>
    <row r="194" spans="15:15" s="124" customFormat="1">
      <c r="O194" s="125"/>
    </row>
    <row r="195" spans="15:15" s="124" customFormat="1">
      <c r="O195" s="125"/>
    </row>
    <row r="196" spans="15:15" s="124" customFormat="1">
      <c r="O196" s="125"/>
    </row>
    <row r="197" spans="15:15" s="124" customFormat="1">
      <c r="O197" s="125"/>
    </row>
    <row r="198" spans="15:15" s="124" customFormat="1">
      <c r="O198" s="125"/>
    </row>
    <row r="199" spans="15:15" s="124" customFormat="1">
      <c r="O199" s="125"/>
    </row>
    <row r="200" spans="15:15" s="124" customFormat="1">
      <c r="O200" s="125"/>
    </row>
    <row r="201" spans="15:15" s="124" customFormat="1">
      <c r="O201" s="125"/>
    </row>
    <row r="202" spans="15:15" s="124" customFormat="1">
      <c r="O202" s="125"/>
    </row>
    <row r="203" spans="15:15" s="124" customFormat="1">
      <c r="O203" s="125"/>
    </row>
    <row r="204" spans="15:15" s="124" customFormat="1">
      <c r="O204" s="125"/>
    </row>
    <row r="205" spans="15:15" s="124" customFormat="1">
      <c r="O205" s="125"/>
    </row>
    <row r="206" spans="15:15" s="124" customFormat="1">
      <c r="O206" s="125"/>
    </row>
    <row r="207" spans="15:15" s="124" customFormat="1">
      <c r="O207" s="125"/>
    </row>
    <row r="208" spans="15:15" s="124" customFormat="1">
      <c r="O208" s="125"/>
    </row>
    <row r="209" spans="15:15" s="124" customFormat="1">
      <c r="O209" s="125"/>
    </row>
    <row r="210" spans="15:15" s="124" customFormat="1">
      <c r="O210" s="125"/>
    </row>
    <row r="211" spans="15:15" s="124" customFormat="1">
      <c r="O211" s="125"/>
    </row>
    <row r="212" spans="15:15" s="124" customFormat="1">
      <c r="O212" s="125"/>
    </row>
    <row r="213" spans="15:15" s="124" customFormat="1">
      <c r="O213" s="125"/>
    </row>
    <row r="214" spans="15:15" s="124" customFormat="1">
      <c r="O214" s="125"/>
    </row>
    <row r="215" spans="15:15" s="124" customFormat="1">
      <c r="O215" s="125"/>
    </row>
    <row r="216" spans="15:15" s="124" customFormat="1">
      <c r="O216" s="125"/>
    </row>
    <row r="217" spans="15:15" s="124" customFormat="1">
      <c r="O217" s="125"/>
    </row>
    <row r="218" spans="15:15" s="124" customFormat="1">
      <c r="O218" s="125"/>
    </row>
    <row r="219" spans="15:15" s="124" customFormat="1">
      <c r="O219" s="125"/>
    </row>
    <row r="220" spans="15:15" s="124" customFormat="1">
      <c r="O220" s="125"/>
    </row>
    <row r="221" spans="15:15" s="124" customFormat="1">
      <c r="O221" s="125"/>
    </row>
    <row r="222" spans="15:15" s="124" customFormat="1">
      <c r="O222" s="125"/>
    </row>
    <row r="223" spans="15:15" s="124" customFormat="1">
      <c r="O223" s="125"/>
    </row>
    <row r="224" spans="15:15" s="124" customFormat="1">
      <c r="O224" s="125"/>
    </row>
    <row r="225" spans="15:15" s="124" customFormat="1">
      <c r="O225" s="125"/>
    </row>
    <row r="226" spans="15:15" s="124" customFormat="1">
      <c r="O226" s="125"/>
    </row>
    <row r="227" spans="15:15" s="124" customFormat="1">
      <c r="O227" s="125"/>
    </row>
    <row r="228" spans="15:15" s="124" customFormat="1">
      <c r="O228" s="125"/>
    </row>
    <row r="229" spans="15:15" s="124" customFormat="1">
      <c r="O229" s="125"/>
    </row>
    <row r="230" spans="15:15" s="124" customFormat="1">
      <c r="O230" s="125"/>
    </row>
    <row r="231" spans="15:15" s="124" customFormat="1">
      <c r="O231" s="125"/>
    </row>
    <row r="232" spans="15:15" s="124" customFormat="1">
      <c r="O232" s="125"/>
    </row>
    <row r="233" spans="15:15" s="124" customFormat="1">
      <c r="O233" s="125"/>
    </row>
    <row r="234" spans="15:15" s="124" customFormat="1">
      <c r="O234" s="125"/>
    </row>
    <row r="235" spans="15:15" s="124" customFormat="1">
      <c r="O235" s="125"/>
    </row>
    <row r="236" spans="15:15" s="124" customFormat="1">
      <c r="O236" s="125"/>
    </row>
    <row r="237" spans="15:15" s="124" customFormat="1">
      <c r="O237" s="125"/>
    </row>
    <row r="238" spans="15:15" s="124" customFormat="1">
      <c r="O238" s="125"/>
    </row>
    <row r="239" spans="15:15" s="124" customFormat="1">
      <c r="O239" s="125"/>
    </row>
    <row r="240" spans="15:15" s="124" customFormat="1">
      <c r="O240" s="125"/>
    </row>
    <row r="241" spans="15:15" s="124" customFormat="1">
      <c r="O241" s="125"/>
    </row>
    <row r="242" spans="15:15" s="124" customFormat="1">
      <c r="O242" s="125"/>
    </row>
    <row r="243" spans="15:15" s="124" customFormat="1">
      <c r="O243" s="125"/>
    </row>
    <row r="244" spans="15:15" s="124" customFormat="1">
      <c r="O244" s="125"/>
    </row>
    <row r="245" spans="15:15" s="124" customFormat="1">
      <c r="O245" s="125"/>
    </row>
  </sheetData>
  <mergeCells count="5">
    <mergeCell ref="A1:A11"/>
    <mergeCell ref="B1:P2"/>
    <mergeCell ref="B3:P5"/>
    <mergeCell ref="B6:P8"/>
    <mergeCell ref="B9:P10"/>
  </mergeCells>
  <phoneticPr fontId="34" type="noConversion"/>
  <printOptions horizontalCentered="1" verticalCentered="1"/>
  <pageMargins left="0.25" right="0.25" top="0.75" bottom="0.5" header="0.5" footer="0.5"/>
  <pageSetup scale="73" orientation="landscape" horizontalDpi="1200" verticalDpi="1200" r:id="rId1"/>
  <headerFooter alignWithMargins="0"/>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drawing r:id="rId8"/>
  <legacyDrawing r:id="rId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A34" sqref="A34:XFD34"/>
    </sheetView>
  </sheetViews>
  <sheetFormatPr defaultRowHeight="13.2"/>
  <cols>
    <col min="1" max="1" width="13.6640625" customWidth="1"/>
    <col min="2" max="2" width="1.5546875" customWidth="1"/>
    <col min="3" max="3" width="11" customWidth="1"/>
    <col min="4" max="5" width="9.33203125" customWidth="1"/>
    <col min="6" max="6" width="8.44140625" customWidth="1"/>
    <col min="7" max="7" width="9.33203125" customWidth="1"/>
    <col min="9" max="9" width="13.6640625" customWidth="1"/>
  </cols>
  <sheetData>
    <row r="1" spans="1:15" ht="17.399999999999999">
      <c r="A1" s="862" t="s">
        <v>487</v>
      </c>
      <c r="I1" s="862" t="s">
        <v>486</v>
      </c>
    </row>
    <row r="2" spans="1:15" ht="17.399999999999999">
      <c r="A2" s="646" t="s">
        <v>471</v>
      </c>
      <c r="B2" s="646"/>
      <c r="C2" s="646"/>
      <c r="D2" s="646"/>
      <c r="I2" s="646" t="s">
        <v>471</v>
      </c>
      <c r="J2" s="646"/>
      <c r="K2" s="646"/>
      <c r="L2" s="646"/>
    </row>
    <row r="3" spans="1:15" ht="7.95" customHeight="1"/>
    <row r="4" spans="1:15">
      <c r="A4" s="25" t="s">
        <v>472</v>
      </c>
      <c r="B4" s="26"/>
      <c r="C4" s="647"/>
      <c r="D4" s="648" t="s">
        <v>473</v>
      </c>
      <c r="E4" s="648" t="s">
        <v>474</v>
      </c>
      <c r="F4" s="648" t="s">
        <v>475</v>
      </c>
      <c r="G4" s="648" t="s">
        <v>476</v>
      </c>
      <c r="I4" s="25" t="s">
        <v>472</v>
      </c>
      <c r="J4" s="26"/>
      <c r="K4" s="647"/>
      <c r="L4" s="648" t="s">
        <v>473</v>
      </c>
      <c r="M4" s="648" t="s">
        <v>474</v>
      </c>
      <c r="N4" s="648" t="s">
        <v>475</v>
      </c>
      <c r="O4" s="648" t="s">
        <v>476</v>
      </c>
    </row>
    <row r="5" spans="1:15">
      <c r="A5" s="649">
        <v>2019</v>
      </c>
      <c r="B5" s="650" t="s">
        <v>477</v>
      </c>
      <c r="C5" s="651" t="s">
        <v>8</v>
      </c>
      <c r="D5" s="652">
        <f>'OpStatsTotals(DR)'!C108</f>
        <v>10531</v>
      </c>
      <c r="E5" s="652">
        <f>'OpStatsTotals(DR)'!C99</f>
        <v>86068</v>
      </c>
      <c r="F5" s="652">
        <f>'OpStatsTotals(DR)'!C96</f>
        <v>4846.3999999999996</v>
      </c>
      <c r="G5" s="653">
        <f>'OpStatsTotals(DR)'!C85</f>
        <v>31</v>
      </c>
      <c r="I5" s="649">
        <v>2018</v>
      </c>
      <c r="J5" s="650" t="s">
        <v>477</v>
      </c>
      <c r="K5" s="651" t="s">
        <v>8</v>
      </c>
      <c r="L5" s="652">
        <v>9874</v>
      </c>
      <c r="M5" s="652">
        <v>74928</v>
      </c>
      <c r="N5" s="652">
        <v>4004.63</v>
      </c>
      <c r="O5" s="653">
        <v>23</v>
      </c>
    </row>
    <row r="6" spans="1:15">
      <c r="A6" s="25">
        <v>2019</v>
      </c>
      <c r="B6" s="26" t="s">
        <v>477</v>
      </c>
      <c r="C6" s="647" t="s">
        <v>78</v>
      </c>
      <c r="D6" s="654">
        <f>'OpStatsTotals(DR)'!D108</f>
        <v>10998</v>
      </c>
      <c r="E6" s="654">
        <f>'OpStatsTotals(DR)'!D99</f>
        <v>89883</v>
      </c>
      <c r="F6" s="654">
        <f>'OpStatsTotals(DR)'!D96</f>
        <v>5019.1499999999996</v>
      </c>
      <c r="G6" s="655">
        <f>'OpStatsTotals(DR)'!D85</f>
        <v>31</v>
      </c>
      <c r="I6" s="25">
        <v>2018</v>
      </c>
      <c r="J6" s="26" t="s">
        <v>477</v>
      </c>
      <c r="K6" s="647" t="s">
        <v>78</v>
      </c>
      <c r="L6" s="654">
        <v>10846</v>
      </c>
      <c r="M6" s="654">
        <v>83181</v>
      </c>
      <c r="N6" s="654">
        <v>4472.2700000000004</v>
      </c>
      <c r="O6" s="655">
        <v>23</v>
      </c>
    </row>
    <row r="7" spans="1:15">
      <c r="A7" s="649">
        <v>2019</v>
      </c>
      <c r="B7" s="650" t="s">
        <v>477</v>
      </c>
      <c r="C7" s="651" t="s">
        <v>79</v>
      </c>
      <c r="D7" s="652">
        <f>'OpStatsTotals(DR)'!E108</f>
        <v>10272</v>
      </c>
      <c r="E7" s="652">
        <f>'OpStatsTotals(DR)'!E99</f>
        <v>83170</v>
      </c>
      <c r="F7" s="652">
        <f>'OpStatsTotals(DR)'!E96</f>
        <v>4593.12</v>
      </c>
      <c r="G7" s="653">
        <f>'OpStatsTotals(DR)'!E85</f>
        <v>31</v>
      </c>
      <c r="I7" s="649">
        <v>2018</v>
      </c>
      <c r="J7" s="650" t="s">
        <v>477</v>
      </c>
      <c r="K7" s="651" t="s">
        <v>79</v>
      </c>
      <c r="L7" s="652">
        <v>9226</v>
      </c>
      <c r="M7" s="652">
        <v>71419</v>
      </c>
      <c r="N7" s="652">
        <v>3906.05</v>
      </c>
      <c r="O7" s="653">
        <v>23</v>
      </c>
    </row>
    <row r="8" spans="1:15">
      <c r="A8" s="25">
        <v>2019</v>
      </c>
      <c r="B8" s="26" t="s">
        <v>477</v>
      </c>
      <c r="C8" s="647" t="s">
        <v>80</v>
      </c>
      <c r="D8" s="654">
        <f>'OpStatsTotals(DR)'!F108</f>
        <v>11715</v>
      </c>
      <c r="E8" s="654">
        <f>'OpStatsTotals(DR)'!F99</f>
        <v>94090</v>
      </c>
      <c r="F8" s="654">
        <f>'OpStatsTotals(DR)'!F96</f>
        <v>5197.18</v>
      </c>
      <c r="G8" s="655">
        <f>'OpStatsTotals(DR)'!F85</f>
        <v>31</v>
      </c>
      <c r="I8" s="25">
        <v>2018</v>
      </c>
      <c r="J8" s="26" t="s">
        <v>477</v>
      </c>
      <c r="K8" s="647" t="s">
        <v>80</v>
      </c>
      <c r="L8" s="654">
        <v>10734</v>
      </c>
      <c r="M8" s="654">
        <v>84714</v>
      </c>
      <c r="N8" s="654">
        <v>4635.38</v>
      </c>
      <c r="O8" s="655">
        <v>23</v>
      </c>
    </row>
    <row r="9" spans="1:15">
      <c r="A9" s="649">
        <v>2019</v>
      </c>
      <c r="B9" s="650" t="s">
        <v>477</v>
      </c>
      <c r="C9" s="651" t="s">
        <v>81</v>
      </c>
      <c r="D9" s="652">
        <f>'OpStatsTotals(DR)'!G108</f>
        <v>9421</v>
      </c>
      <c r="E9" s="652">
        <f>'OpStatsTotals(DR)'!G99</f>
        <v>74756</v>
      </c>
      <c r="F9" s="652">
        <f>'OpStatsTotals(DR)'!G96</f>
        <v>4195.2</v>
      </c>
      <c r="G9" s="653">
        <f>'OpStatsTotals(DR)'!G85</f>
        <v>31</v>
      </c>
      <c r="I9" s="649">
        <v>2018</v>
      </c>
      <c r="J9" s="650" t="s">
        <v>477</v>
      </c>
      <c r="K9" s="651" t="s">
        <v>81</v>
      </c>
      <c r="L9" s="652">
        <v>8773</v>
      </c>
      <c r="M9" s="652">
        <v>73467</v>
      </c>
      <c r="N9" s="652">
        <v>4033.6499999999996</v>
      </c>
      <c r="O9" s="653">
        <v>23</v>
      </c>
    </row>
    <row r="10" spans="1:15">
      <c r="A10" s="25">
        <v>2019</v>
      </c>
      <c r="B10" s="26" t="s">
        <v>477</v>
      </c>
      <c r="C10" s="647" t="s">
        <v>82</v>
      </c>
      <c r="D10" s="654">
        <f>'OpStatsTotals(DR)'!H108</f>
        <v>9630.2060000000001</v>
      </c>
      <c r="E10" s="654">
        <f>'OpStatsTotals(DR)'!H99</f>
        <v>75076</v>
      </c>
      <c r="F10" s="654">
        <f>'OpStatsTotals(DR)'!H96</f>
        <v>4208.67</v>
      </c>
      <c r="G10" s="655">
        <f>'OpStatsTotals(DR)'!H85</f>
        <v>31</v>
      </c>
      <c r="I10" s="25">
        <v>2018</v>
      </c>
      <c r="J10" s="26" t="s">
        <v>477</v>
      </c>
      <c r="K10" s="647" t="s">
        <v>82</v>
      </c>
      <c r="L10" s="654">
        <v>7281</v>
      </c>
      <c r="M10" s="654">
        <v>60313</v>
      </c>
      <c r="N10" s="654">
        <v>3390.28</v>
      </c>
      <c r="O10" s="655">
        <v>23</v>
      </c>
    </row>
    <row r="11" spans="1:15">
      <c r="A11" s="649">
        <v>2020</v>
      </c>
      <c r="B11" s="650" t="s">
        <v>477</v>
      </c>
      <c r="C11" s="651" t="s">
        <v>83</v>
      </c>
      <c r="D11" s="652">
        <f>'OpStatsTotals(DR)'!I108</f>
        <v>0</v>
      </c>
      <c r="E11" s="652">
        <f>'OpStatsTotals(DR)'!I99</f>
        <v>0</v>
      </c>
      <c r="F11" s="652">
        <f>'OpStatsTotals(DR)'!I96</f>
        <v>0</v>
      </c>
      <c r="G11" s="653">
        <f>'OpStatsTotals(DR)'!I85</f>
        <v>31</v>
      </c>
      <c r="I11" s="649">
        <v>2019</v>
      </c>
      <c r="J11" s="650" t="s">
        <v>477</v>
      </c>
      <c r="K11" s="651" t="s">
        <v>83</v>
      </c>
      <c r="L11" s="652">
        <v>9561</v>
      </c>
      <c r="M11" s="652">
        <v>78425</v>
      </c>
      <c r="N11" s="652">
        <v>4299.25</v>
      </c>
      <c r="O11" s="653">
        <v>23</v>
      </c>
    </row>
    <row r="12" spans="1:15">
      <c r="A12" s="25">
        <v>2020</v>
      </c>
      <c r="B12" s="26" t="s">
        <v>477</v>
      </c>
      <c r="C12" s="647" t="s">
        <v>84</v>
      </c>
      <c r="D12" s="654">
        <f>'OpStatsTotals(DR)'!J108</f>
        <v>0</v>
      </c>
      <c r="E12" s="654">
        <f>'OpStatsTotals(DR)'!J99</f>
        <v>0</v>
      </c>
      <c r="F12" s="654">
        <f>'OpStatsTotals(DR)'!J96</f>
        <v>0</v>
      </c>
      <c r="G12" s="655">
        <f>'OpStatsTotals(DR)'!J85</f>
        <v>31</v>
      </c>
      <c r="I12" s="25">
        <v>2019</v>
      </c>
      <c r="J12" s="26" t="s">
        <v>477</v>
      </c>
      <c r="K12" s="647" t="s">
        <v>84</v>
      </c>
      <c r="L12" s="654">
        <v>9367</v>
      </c>
      <c r="M12" s="654">
        <v>75511</v>
      </c>
      <c r="N12" s="654">
        <v>4223.6000000000004</v>
      </c>
      <c r="O12" s="655">
        <v>23</v>
      </c>
    </row>
    <row r="13" spans="1:15">
      <c r="A13" s="649">
        <v>2020</v>
      </c>
      <c r="B13" s="650" t="s">
        <v>477</v>
      </c>
      <c r="C13" s="651" t="s">
        <v>85</v>
      </c>
      <c r="D13" s="652">
        <f>'OpStatsTotals(DR)'!K108</f>
        <v>0</v>
      </c>
      <c r="E13" s="652">
        <f>'OpStatsTotals(DR)'!K99</f>
        <v>0</v>
      </c>
      <c r="F13" s="652">
        <f>'OpStatsTotals(DR)'!K96</f>
        <v>0</v>
      </c>
      <c r="G13" s="653">
        <f>'OpStatsTotals(DR)'!K85</f>
        <v>31</v>
      </c>
      <c r="I13" s="649">
        <v>2019</v>
      </c>
      <c r="J13" s="650" t="s">
        <v>477</v>
      </c>
      <c r="K13" s="651" t="s">
        <v>85</v>
      </c>
      <c r="L13" s="652">
        <v>9980</v>
      </c>
      <c r="M13" s="652">
        <v>80000</v>
      </c>
      <c r="N13" s="652">
        <v>4419.12</v>
      </c>
      <c r="O13" s="653">
        <v>23</v>
      </c>
    </row>
    <row r="14" spans="1:15">
      <c r="A14" s="25">
        <v>2020</v>
      </c>
      <c r="B14" s="26" t="s">
        <v>477</v>
      </c>
      <c r="C14" s="647" t="s">
        <v>4</v>
      </c>
      <c r="D14" s="654">
        <f>'OpStatsTotals(DR)'!L108</f>
        <v>0</v>
      </c>
      <c r="E14" s="654">
        <f>'OpStatsTotals(DR)'!L99</f>
        <v>0</v>
      </c>
      <c r="F14" s="654">
        <f>'OpStatsTotals(DR)'!L96</f>
        <v>0</v>
      </c>
      <c r="G14" s="655">
        <f>'OpStatsTotals(DR)'!L85</f>
        <v>31</v>
      </c>
      <c r="I14" s="25">
        <v>2019</v>
      </c>
      <c r="J14" s="26" t="s">
        <v>477</v>
      </c>
      <c r="K14" s="647" t="s">
        <v>4</v>
      </c>
      <c r="L14" s="654">
        <v>9802</v>
      </c>
      <c r="M14" s="654">
        <v>79261</v>
      </c>
      <c r="N14" s="654">
        <v>4375.05</v>
      </c>
      <c r="O14" s="655">
        <v>27</v>
      </c>
    </row>
    <row r="15" spans="1:15">
      <c r="A15" s="649">
        <v>2020</v>
      </c>
      <c r="B15" s="650" t="s">
        <v>477</v>
      </c>
      <c r="C15" s="651" t="s">
        <v>5</v>
      </c>
      <c r="D15" s="652">
        <f>'OpStatsTotals(DR)'!M108</f>
        <v>0</v>
      </c>
      <c r="E15" s="652">
        <f>'OpStatsTotals(DR)'!M99</f>
        <v>0</v>
      </c>
      <c r="F15" s="652">
        <f>'OpStatsTotals(DR)'!M96</f>
        <v>0</v>
      </c>
      <c r="G15" s="653">
        <f>'OpStatsTotals(DR)'!M85</f>
        <v>31</v>
      </c>
      <c r="I15" s="649">
        <v>2019</v>
      </c>
      <c r="J15" s="650" t="s">
        <v>477</v>
      </c>
      <c r="K15" s="651" t="s">
        <v>5</v>
      </c>
      <c r="L15" s="652">
        <v>10506</v>
      </c>
      <c r="M15" s="652">
        <v>83809</v>
      </c>
      <c r="N15" s="652">
        <v>4671.7700000000004</v>
      </c>
      <c r="O15" s="653">
        <v>27</v>
      </c>
    </row>
    <row r="16" spans="1:15">
      <c r="A16" s="25">
        <v>2020</v>
      </c>
      <c r="B16" s="26" t="s">
        <v>477</v>
      </c>
      <c r="C16" s="647" t="s">
        <v>6</v>
      </c>
      <c r="D16" s="654">
        <f>'OpStatsTotals(DR)'!N108</f>
        <v>0</v>
      </c>
      <c r="E16" s="654">
        <f>'OpStatsTotals(DR)'!N99</f>
        <v>0</v>
      </c>
      <c r="F16" s="654">
        <f>'OpStatsTotals(DR)'!N96</f>
        <v>0</v>
      </c>
      <c r="G16" s="655">
        <f>'OpStatsTotals(DR)'!N85</f>
        <v>31</v>
      </c>
      <c r="I16" s="25">
        <v>2019</v>
      </c>
      <c r="J16" s="26" t="s">
        <v>477</v>
      </c>
      <c r="K16" s="647" t="s">
        <v>6</v>
      </c>
      <c r="L16" s="654">
        <v>9712</v>
      </c>
      <c r="M16" s="654">
        <v>76157</v>
      </c>
      <c r="N16" s="654">
        <v>4268.5</v>
      </c>
      <c r="O16" s="655">
        <v>27</v>
      </c>
    </row>
    <row r="17" spans="1:15">
      <c r="L17" s="17">
        <v>115662</v>
      </c>
      <c r="M17" s="17">
        <v>921185</v>
      </c>
      <c r="N17" s="17">
        <v>50699.55</v>
      </c>
    </row>
    <row r="18" spans="1:15" ht="17.399999999999999">
      <c r="A18" s="646" t="s">
        <v>478</v>
      </c>
      <c r="B18" s="646"/>
      <c r="C18" s="646"/>
      <c r="D18" s="646"/>
      <c r="I18" s="646" t="s">
        <v>478</v>
      </c>
      <c r="J18" s="646"/>
      <c r="K18" s="646"/>
      <c r="L18" s="646"/>
    </row>
    <row r="19" spans="1:15" ht="7.95" customHeight="1"/>
    <row r="20" spans="1:15">
      <c r="A20" s="25" t="s">
        <v>472</v>
      </c>
      <c r="B20" s="26"/>
      <c r="C20" s="647"/>
      <c r="D20" s="648" t="s">
        <v>473</v>
      </c>
      <c r="E20" s="648" t="s">
        <v>474</v>
      </c>
      <c r="F20" s="648" t="s">
        <v>475</v>
      </c>
      <c r="G20" s="648" t="s">
        <v>476</v>
      </c>
      <c r="I20" s="25" t="s">
        <v>472</v>
      </c>
      <c r="J20" s="26"/>
      <c r="K20" s="647"/>
      <c r="L20" s="648" t="s">
        <v>473</v>
      </c>
      <c r="M20" s="648" t="s">
        <v>474</v>
      </c>
      <c r="N20" s="648" t="s">
        <v>475</v>
      </c>
      <c r="O20" s="648" t="s">
        <v>476</v>
      </c>
    </row>
    <row r="21" spans="1:15">
      <c r="A21" s="649">
        <v>2019</v>
      </c>
      <c r="B21" s="650" t="s">
        <v>477</v>
      </c>
      <c r="C21" s="651" t="s">
        <v>8</v>
      </c>
      <c r="D21" s="652">
        <f>'OpStatsTotals(MBTrailblazers)'!C151</f>
        <v>3190</v>
      </c>
      <c r="E21" s="652">
        <f>'OpStatsTotals(MBTrailblazers)'!C143</f>
        <v>11906</v>
      </c>
      <c r="F21" s="652">
        <f>'OpStatsTotals(MBTrailblazers)'!C139</f>
        <v>663</v>
      </c>
      <c r="G21" s="653">
        <f>'OpStatsTotals(MBTrailblazers)'!C125</f>
        <v>3</v>
      </c>
      <c r="I21" s="649">
        <v>2018</v>
      </c>
      <c r="J21" s="650" t="s">
        <v>477</v>
      </c>
      <c r="K21" s="651" t="s">
        <v>8</v>
      </c>
      <c r="L21" s="652">
        <v>2256</v>
      </c>
      <c r="M21" s="652">
        <v>11468</v>
      </c>
      <c r="N21" s="652">
        <v>634</v>
      </c>
      <c r="O21" s="653">
        <v>3</v>
      </c>
    </row>
    <row r="22" spans="1:15">
      <c r="A22" s="25">
        <v>2019</v>
      </c>
      <c r="B22" s="26" t="s">
        <v>477</v>
      </c>
      <c r="C22" s="647" t="s">
        <v>78</v>
      </c>
      <c r="D22" s="654">
        <f>'OpStatsTotals(MBTrailblazers)'!D151</f>
        <v>3304</v>
      </c>
      <c r="E22" s="654">
        <f>'OpStatsTotals(MBTrailblazers)'!D143</f>
        <v>12257</v>
      </c>
      <c r="F22" s="654">
        <f>'OpStatsTotals(MBTrailblazers)'!D139</f>
        <v>673</v>
      </c>
      <c r="G22" s="655">
        <f>'OpStatsTotals(MBTrailblazers)'!D125</f>
        <v>3</v>
      </c>
      <c r="I22" s="25">
        <v>2018</v>
      </c>
      <c r="J22" s="26" t="s">
        <v>477</v>
      </c>
      <c r="K22" s="647" t="s">
        <v>78</v>
      </c>
      <c r="L22" s="654">
        <v>2417</v>
      </c>
      <c r="M22" s="654">
        <v>12477</v>
      </c>
      <c r="N22" s="654">
        <v>690</v>
      </c>
      <c r="O22" s="655">
        <v>3</v>
      </c>
    </row>
    <row r="23" spans="1:15">
      <c r="A23" s="649">
        <v>2019</v>
      </c>
      <c r="B23" s="650" t="s">
        <v>477</v>
      </c>
      <c r="C23" s="651" t="s">
        <v>79</v>
      </c>
      <c r="D23" s="652">
        <f>'OpStatsTotals(MBTrailblazers)'!E151</f>
        <v>2828</v>
      </c>
      <c r="E23" s="652">
        <f>'OpStatsTotals(MBTrailblazers)'!E143</f>
        <v>11080</v>
      </c>
      <c r="F23" s="652">
        <f>'OpStatsTotals(MBTrailblazers)'!E139</f>
        <v>606</v>
      </c>
      <c r="G23" s="653">
        <f>'OpStatsTotals(MBTrailblazers)'!E125</f>
        <v>3</v>
      </c>
      <c r="I23" s="649">
        <v>2018</v>
      </c>
      <c r="J23" s="650" t="s">
        <v>477</v>
      </c>
      <c r="K23" s="651" t="s">
        <v>79</v>
      </c>
      <c r="L23" s="652">
        <v>2038</v>
      </c>
      <c r="M23" s="652">
        <v>10711</v>
      </c>
      <c r="N23" s="652">
        <v>588</v>
      </c>
      <c r="O23" s="653">
        <v>3</v>
      </c>
    </row>
    <row r="24" spans="1:15">
      <c r="A24" s="25">
        <v>2019</v>
      </c>
      <c r="B24" s="26" t="s">
        <v>477</v>
      </c>
      <c r="C24" s="647" t="s">
        <v>80</v>
      </c>
      <c r="D24" s="654">
        <f>'OpStatsTotals(MBTrailblazers)'!F151</f>
        <v>3216</v>
      </c>
      <c r="E24" s="654">
        <f>'OpStatsTotals(MBTrailblazers)'!F143</f>
        <v>12638</v>
      </c>
      <c r="F24" s="654">
        <f>'OpStatsTotals(MBTrailblazers)'!F139</f>
        <v>690</v>
      </c>
      <c r="G24" s="655">
        <f>'OpStatsTotals(MBTrailblazers)'!F125</f>
        <v>3</v>
      </c>
      <c r="I24" s="25">
        <v>2018</v>
      </c>
      <c r="J24" s="26" t="s">
        <v>477</v>
      </c>
      <c r="K24" s="647" t="s">
        <v>80</v>
      </c>
      <c r="L24" s="654">
        <v>2626</v>
      </c>
      <c r="M24" s="654">
        <v>12507</v>
      </c>
      <c r="N24" s="654">
        <v>690</v>
      </c>
      <c r="O24" s="655">
        <v>3</v>
      </c>
    </row>
    <row r="25" spans="1:15">
      <c r="A25" s="649">
        <v>2019</v>
      </c>
      <c r="B25" s="650" t="s">
        <v>477</v>
      </c>
      <c r="C25" s="651" t="s">
        <v>81</v>
      </c>
      <c r="D25" s="652">
        <f>'OpStatsTotals(MBTrailblazers)'!G151</f>
        <v>2853</v>
      </c>
      <c r="E25" s="652">
        <f>'OpStatsTotals(MBTrailblazers)'!G143</f>
        <v>11211</v>
      </c>
      <c r="F25" s="652">
        <f>'OpStatsTotals(MBTrailblazers)'!G139</f>
        <v>614</v>
      </c>
      <c r="G25" s="653">
        <f>'OpStatsTotals(MBTrailblazers)'!G125</f>
        <v>3</v>
      </c>
      <c r="I25" s="649">
        <v>2018</v>
      </c>
      <c r="J25" s="650" t="s">
        <v>477</v>
      </c>
      <c r="K25" s="651" t="s">
        <v>81</v>
      </c>
      <c r="L25" s="652">
        <v>2350</v>
      </c>
      <c r="M25" s="652">
        <v>11371</v>
      </c>
      <c r="N25" s="652">
        <v>624</v>
      </c>
      <c r="O25" s="653">
        <v>3</v>
      </c>
    </row>
    <row r="26" spans="1:15">
      <c r="A26" s="25">
        <v>2019</v>
      </c>
      <c r="B26" s="26" t="s">
        <v>477</v>
      </c>
      <c r="C26" s="647" t="s">
        <v>82</v>
      </c>
      <c r="D26" s="654">
        <f>'OpStatsTotals(MBTrailblazers)'!H151</f>
        <v>2540</v>
      </c>
      <c r="E26" s="654">
        <f>'OpStatsTotals(MBTrailblazers)'!H143</f>
        <v>11468</v>
      </c>
      <c r="F26" s="654">
        <f>'OpStatsTotals(MBTrailblazers)'!H139</f>
        <v>632</v>
      </c>
      <c r="G26" s="655">
        <f>'OpStatsTotals(MBTrailblazers)'!H125</f>
        <v>3</v>
      </c>
      <c r="I26" s="25">
        <v>2018</v>
      </c>
      <c r="J26" s="26" t="s">
        <v>477</v>
      </c>
      <c r="K26" s="647" t="s">
        <v>82</v>
      </c>
      <c r="L26" s="654">
        <v>2068</v>
      </c>
      <c r="M26" s="654">
        <v>10293</v>
      </c>
      <c r="N26" s="654">
        <v>570</v>
      </c>
      <c r="O26" s="655">
        <v>3</v>
      </c>
    </row>
    <row r="27" spans="1:15">
      <c r="A27" s="649">
        <v>2020</v>
      </c>
      <c r="B27" s="650" t="s">
        <v>477</v>
      </c>
      <c r="C27" s="651" t="s">
        <v>83</v>
      </c>
      <c r="D27" s="652">
        <f>'OpStatsTotals(MBTrailblazers)'!I151</f>
        <v>0</v>
      </c>
      <c r="E27" s="652">
        <f>'OpStatsTotals(MBTrailblazers)'!I143</f>
        <v>0</v>
      </c>
      <c r="F27" s="652">
        <f>'OpStatsTotals(MBTrailblazers)'!I139</f>
        <v>0</v>
      </c>
      <c r="G27" s="653">
        <f>'OpStatsTotals(MBTrailblazers)'!I125</f>
        <v>3</v>
      </c>
      <c r="I27" s="649">
        <v>2019</v>
      </c>
      <c r="J27" s="650" t="s">
        <v>477</v>
      </c>
      <c r="K27" s="651" t="s">
        <v>83</v>
      </c>
      <c r="L27" s="652">
        <v>2456</v>
      </c>
      <c r="M27" s="652">
        <v>11441</v>
      </c>
      <c r="N27" s="652">
        <v>633</v>
      </c>
      <c r="O27" s="653">
        <v>3</v>
      </c>
    </row>
    <row r="28" spans="1:15">
      <c r="A28" s="25">
        <v>2020</v>
      </c>
      <c r="B28" s="26" t="s">
        <v>477</v>
      </c>
      <c r="C28" s="647" t="s">
        <v>84</v>
      </c>
      <c r="D28" s="654">
        <f>'OpStatsTotals(MBTrailblazers)'!J151</f>
        <v>0</v>
      </c>
      <c r="E28" s="654">
        <f>'OpStatsTotals(MBTrailblazers)'!J143</f>
        <v>0</v>
      </c>
      <c r="F28" s="654">
        <f>'OpStatsTotals(MBTrailblazers)'!J139</f>
        <v>0</v>
      </c>
      <c r="G28" s="655">
        <f>'OpStatsTotals(MBTrailblazers)'!J125</f>
        <v>3</v>
      </c>
      <c r="I28" s="25">
        <v>2019</v>
      </c>
      <c r="J28" s="26" t="s">
        <v>477</v>
      </c>
      <c r="K28" s="647" t="s">
        <v>84</v>
      </c>
      <c r="L28" s="654">
        <v>2505</v>
      </c>
      <c r="M28" s="654">
        <v>10911</v>
      </c>
      <c r="N28" s="654">
        <v>606</v>
      </c>
      <c r="O28" s="655">
        <v>3</v>
      </c>
    </row>
    <row r="29" spans="1:15">
      <c r="A29" s="649">
        <v>2020</v>
      </c>
      <c r="B29" s="650" t="s">
        <v>477</v>
      </c>
      <c r="C29" s="651" t="s">
        <v>85</v>
      </c>
      <c r="D29" s="652">
        <f>'OpStatsTotals(MBTrailblazers)'!K151</f>
        <v>0</v>
      </c>
      <c r="E29" s="652">
        <f>'OpStatsTotals(MBTrailblazers)'!K143</f>
        <v>0</v>
      </c>
      <c r="F29" s="652">
        <f>'OpStatsTotals(MBTrailblazers)'!K139</f>
        <v>0</v>
      </c>
      <c r="G29" s="653">
        <f>'OpStatsTotals(MBTrailblazers)'!K125</f>
        <v>3</v>
      </c>
      <c r="I29" s="649">
        <v>2019</v>
      </c>
      <c r="J29" s="650" t="s">
        <v>477</v>
      </c>
      <c r="K29" s="651" t="s">
        <v>85</v>
      </c>
      <c r="L29" s="652">
        <v>2644</v>
      </c>
      <c r="M29" s="652">
        <v>11610</v>
      </c>
      <c r="N29" s="652">
        <v>645</v>
      </c>
      <c r="O29" s="653">
        <v>3</v>
      </c>
    </row>
    <row r="30" spans="1:15">
      <c r="A30" s="25">
        <v>2020</v>
      </c>
      <c r="B30" s="26" t="s">
        <v>477</v>
      </c>
      <c r="C30" s="647" t="s">
        <v>4</v>
      </c>
      <c r="D30" s="654">
        <f>'OpStatsTotals(MBTrailblazers)'!L151</f>
        <v>0</v>
      </c>
      <c r="E30" s="654">
        <f>'OpStatsTotals(MBTrailblazers)'!L143</f>
        <v>0</v>
      </c>
      <c r="F30" s="654">
        <f>'OpStatsTotals(MBTrailblazers)'!L139</f>
        <v>0</v>
      </c>
      <c r="G30" s="655">
        <f>'OpStatsTotals(MBTrailblazers)'!L125</f>
        <v>3</v>
      </c>
      <c r="I30" s="25">
        <v>2019</v>
      </c>
      <c r="J30" s="26" t="s">
        <v>477</v>
      </c>
      <c r="K30" s="647" t="s">
        <v>4</v>
      </c>
      <c r="L30" s="654">
        <v>2771</v>
      </c>
      <c r="M30" s="654">
        <v>11367</v>
      </c>
      <c r="N30" s="654">
        <v>634</v>
      </c>
      <c r="O30" s="655">
        <v>3</v>
      </c>
    </row>
    <row r="31" spans="1:15">
      <c r="A31" s="649">
        <v>2020</v>
      </c>
      <c r="B31" s="650" t="s">
        <v>477</v>
      </c>
      <c r="C31" s="651" t="s">
        <v>5</v>
      </c>
      <c r="D31" s="652">
        <f>'OpStatsTotals(MBTrailblazers)'!M151</f>
        <v>0</v>
      </c>
      <c r="E31" s="652">
        <f>'OpStatsTotals(MBTrailblazers)'!M143</f>
        <v>0</v>
      </c>
      <c r="F31" s="652">
        <f>'OpStatsTotals(MBTrailblazers)'!M139</f>
        <v>0</v>
      </c>
      <c r="G31" s="653">
        <f>'OpStatsTotals(MBTrailblazers)'!M125</f>
        <v>3</v>
      </c>
      <c r="I31" s="649">
        <v>2019</v>
      </c>
      <c r="J31" s="650" t="s">
        <v>477</v>
      </c>
      <c r="K31" s="651" t="s">
        <v>5</v>
      </c>
      <c r="L31" s="652">
        <v>2928</v>
      </c>
      <c r="M31" s="652">
        <v>12005</v>
      </c>
      <c r="N31" s="652">
        <v>663</v>
      </c>
      <c r="O31" s="653">
        <v>3</v>
      </c>
    </row>
    <row r="32" spans="1:15">
      <c r="A32" s="25">
        <v>2020</v>
      </c>
      <c r="B32" s="26" t="s">
        <v>477</v>
      </c>
      <c r="C32" s="647" t="s">
        <v>6</v>
      </c>
      <c r="D32" s="654">
        <f>'OpStatsTotals(MBTrailblazers)'!N151</f>
        <v>0</v>
      </c>
      <c r="E32" s="654">
        <f>'OpStatsTotals(MBTrailblazers)'!N143</f>
        <v>0</v>
      </c>
      <c r="F32" s="654">
        <f>'OpStatsTotals(MBTrailblazers)'!N139</f>
        <v>0</v>
      </c>
      <c r="G32" s="655">
        <f>'OpStatsTotals(MBTrailblazers)'!N125</f>
        <v>3</v>
      </c>
      <c r="I32" s="25">
        <v>2019</v>
      </c>
      <c r="J32" s="26" t="s">
        <v>477</v>
      </c>
      <c r="K32" s="647" t="s">
        <v>6</v>
      </c>
      <c r="L32" s="654">
        <v>2665</v>
      </c>
      <c r="M32" s="654">
        <v>11181</v>
      </c>
      <c r="N32" s="654">
        <v>616</v>
      </c>
      <c r="O32" s="655">
        <v>3</v>
      </c>
    </row>
  </sheetData>
  <pageMargins left="0.7" right="0.7" top="0.75" bottom="0.75" header="0.3" footer="0.3"/>
  <pageSetup orientation="portrait" r:id="rId1"/>
  <customProperties>
    <customPr name="DrillPoint.Mode" r:id="rId2"/>
    <customPr name="DrillPoint.SaveEntireSheet" r:id="rId3"/>
    <customPr name="DrillPoint.Subsheet" r:id="rId4"/>
    <customPr name="DrillPoint.WorksheetID" r:id="rId5"/>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56"/>
  <sheetViews>
    <sheetView zoomScale="85" zoomScaleNormal="85" workbookViewId="0">
      <pane xSplit="2" ySplit="4" topLeftCell="C5" activePane="bottomRight" state="frozen"/>
      <selection activeCell="I43" sqref="I43"/>
      <selection pane="topRight" activeCell="I43" sqref="I43"/>
      <selection pane="bottomLeft" activeCell="I43" sqref="I43"/>
      <selection pane="bottomRight" activeCell="C1" sqref="C1:O1048576"/>
    </sheetView>
  </sheetViews>
  <sheetFormatPr defaultColWidth="9.109375" defaultRowHeight="18"/>
  <cols>
    <col min="1" max="1" width="41.44140625" style="722" bestFit="1" customWidth="1"/>
    <col min="2" max="2" width="32.6640625" style="722" bestFit="1" customWidth="1"/>
    <col min="3" max="14" width="12.5546875" style="722" bestFit="1" customWidth="1"/>
    <col min="15" max="15" width="14.5546875" style="722" bestFit="1" customWidth="1"/>
    <col min="16" max="27" width="9.109375" style="722"/>
    <col min="28" max="16384" width="9.109375" style="704"/>
  </cols>
  <sheetData>
    <row r="1" spans="1:15" ht="21">
      <c r="A1" s="725" t="s">
        <v>86</v>
      </c>
      <c r="B1" s="725" t="s">
        <v>494</v>
      </c>
    </row>
    <row r="2" spans="1:15" ht="21">
      <c r="A2" s="725" t="s">
        <v>19</v>
      </c>
      <c r="B2" s="725" t="s">
        <v>487</v>
      </c>
      <c r="C2" s="967" t="s">
        <v>8</v>
      </c>
      <c r="D2" s="968" t="s">
        <v>78</v>
      </c>
      <c r="E2" s="968" t="s">
        <v>79</v>
      </c>
      <c r="F2" s="968" t="s">
        <v>80</v>
      </c>
      <c r="G2" s="968" t="s">
        <v>81</v>
      </c>
      <c r="H2" s="968" t="s">
        <v>82</v>
      </c>
      <c r="I2" s="968" t="s">
        <v>83</v>
      </c>
      <c r="J2" s="968" t="s">
        <v>84</v>
      </c>
      <c r="K2" s="968" t="s">
        <v>85</v>
      </c>
      <c r="L2" s="968" t="s">
        <v>4</v>
      </c>
      <c r="M2" s="968" t="s">
        <v>5</v>
      </c>
      <c r="N2" s="968" t="s">
        <v>6</v>
      </c>
      <c r="O2" s="968" t="s">
        <v>7</v>
      </c>
    </row>
    <row r="3" spans="1:15">
      <c r="A3" s="736" t="s">
        <v>117</v>
      </c>
      <c r="B3" s="737" t="s">
        <v>118</v>
      </c>
      <c r="C3" s="728" t="s">
        <v>138</v>
      </c>
      <c r="D3" s="727" t="s">
        <v>138</v>
      </c>
      <c r="E3" s="727" t="s">
        <v>138</v>
      </c>
      <c r="F3" s="727" t="s">
        <v>138</v>
      </c>
      <c r="G3" s="727" t="s">
        <v>138</v>
      </c>
      <c r="H3" s="727" t="s">
        <v>138</v>
      </c>
      <c r="I3" s="727" t="s">
        <v>138</v>
      </c>
      <c r="J3" s="727" t="s">
        <v>138</v>
      </c>
      <c r="K3" s="727" t="s">
        <v>138</v>
      </c>
      <c r="L3" s="727" t="s">
        <v>138</v>
      </c>
      <c r="M3" s="727" t="s">
        <v>138</v>
      </c>
      <c r="N3" s="727" t="s">
        <v>138</v>
      </c>
      <c r="O3" s="969" t="s">
        <v>138</v>
      </c>
    </row>
    <row r="4" spans="1:15">
      <c r="A4" s="738" t="s">
        <v>119</v>
      </c>
      <c r="B4" s="738"/>
      <c r="C4" s="729" t="s">
        <v>1</v>
      </c>
      <c r="D4" s="730" t="s">
        <v>1</v>
      </c>
      <c r="E4" s="730" t="s">
        <v>1</v>
      </c>
      <c r="F4" s="730" t="s">
        <v>1</v>
      </c>
      <c r="G4" s="730" t="s">
        <v>1</v>
      </c>
      <c r="H4" s="730" t="s">
        <v>1</v>
      </c>
      <c r="I4" s="730" t="s">
        <v>1</v>
      </c>
      <c r="J4" s="730" t="s">
        <v>1</v>
      </c>
      <c r="K4" s="730" t="s">
        <v>1</v>
      </c>
      <c r="L4" s="730" t="s">
        <v>1</v>
      </c>
      <c r="M4" s="730" t="s">
        <v>1</v>
      </c>
      <c r="N4" s="730" t="s">
        <v>1</v>
      </c>
      <c r="O4" s="969" t="s">
        <v>1</v>
      </c>
    </row>
    <row r="5" spans="1:15">
      <c r="A5" s="731" t="s">
        <v>127</v>
      </c>
      <c r="B5" s="731" t="s">
        <v>128</v>
      </c>
      <c r="C5" s="732">
        <v>2474.63</v>
      </c>
      <c r="D5" s="732">
        <v>2140.7800000000002</v>
      </c>
      <c r="E5" s="732">
        <v>2538.23</v>
      </c>
      <c r="F5" s="732">
        <v>2484.33</v>
      </c>
      <c r="G5" s="732">
        <v>1509.13</v>
      </c>
      <c r="H5" s="732">
        <v>1242.8800000000001</v>
      </c>
      <c r="I5" s="732"/>
      <c r="J5" s="732"/>
      <c r="K5" s="732"/>
      <c r="L5" s="732"/>
      <c r="M5" s="732"/>
      <c r="N5" s="732"/>
      <c r="O5" s="733">
        <f t="shared" ref="O5:O27" si="0">SUM(C5:N5)</f>
        <v>12389.98</v>
      </c>
    </row>
    <row r="6" spans="1:15">
      <c r="A6" s="731" t="s">
        <v>129</v>
      </c>
      <c r="B6" s="731" t="s">
        <v>130</v>
      </c>
      <c r="C6" s="732">
        <v>196.56</v>
      </c>
      <c r="D6" s="732">
        <v>204.04</v>
      </c>
      <c r="E6" s="732">
        <v>226.35</v>
      </c>
      <c r="F6" s="732">
        <v>192.06</v>
      </c>
      <c r="G6" s="732">
        <v>139.75</v>
      </c>
      <c r="H6" s="732">
        <v>115.63</v>
      </c>
      <c r="I6" s="732"/>
      <c r="J6" s="732"/>
      <c r="K6" s="732"/>
      <c r="L6" s="732"/>
      <c r="M6" s="732"/>
      <c r="N6" s="732"/>
      <c r="O6" s="733">
        <f t="shared" si="0"/>
        <v>1074.3899999999999</v>
      </c>
    </row>
    <row r="7" spans="1:15">
      <c r="A7" s="734" t="s">
        <v>240</v>
      </c>
      <c r="B7" s="734" t="s">
        <v>322</v>
      </c>
      <c r="C7" s="732">
        <v>39156.58</v>
      </c>
      <c r="D7" s="732">
        <v>38965.129999999997</v>
      </c>
      <c r="E7" s="732">
        <v>36212.480000000003</v>
      </c>
      <c r="F7" s="732">
        <v>39687.019999999997</v>
      </c>
      <c r="G7" s="732">
        <v>33380.129999999997</v>
      </c>
      <c r="H7" s="732">
        <v>33056.65</v>
      </c>
      <c r="I7" s="732"/>
      <c r="J7" s="732"/>
      <c r="K7" s="732"/>
      <c r="L7" s="732"/>
      <c r="M7" s="732"/>
      <c r="N7" s="732"/>
      <c r="O7" s="733">
        <f t="shared" si="0"/>
        <v>220457.99</v>
      </c>
    </row>
    <row r="8" spans="1:15">
      <c r="A8" s="734" t="s">
        <v>240</v>
      </c>
      <c r="B8" s="734" t="s">
        <v>321</v>
      </c>
      <c r="C8" s="732">
        <v>1368.81</v>
      </c>
      <c r="D8" s="732">
        <v>1011.54</v>
      </c>
      <c r="E8" s="732">
        <v>1175.03</v>
      </c>
      <c r="F8" s="732">
        <v>825.98</v>
      </c>
      <c r="G8" s="732">
        <v>720.2</v>
      </c>
      <c r="H8" s="732">
        <v>373.98</v>
      </c>
      <c r="I8" s="732"/>
      <c r="J8" s="732"/>
      <c r="K8" s="732"/>
      <c r="L8" s="732"/>
      <c r="M8" s="732"/>
      <c r="N8" s="732"/>
      <c r="O8" s="733">
        <f t="shared" si="0"/>
        <v>5475.5400000000009</v>
      </c>
    </row>
    <row r="9" spans="1:15">
      <c r="A9" s="734" t="s">
        <v>240</v>
      </c>
      <c r="B9" s="734" t="s">
        <v>320</v>
      </c>
      <c r="C9" s="732">
        <v>1391</v>
      </c>
      <c r="D9" s="732">
        <v>1260</v>
      </c>
      <c r="E9" s="732">
        <v>1896</v>
      </c>
      <c r="F9" s="732">
        <v>1233</v>
      </c>
      <c r="G9" s="732">
        <v>1446</v>
      </c>
      <c r="H9" s="732">
        <v>1542</v>
      </c>
      <c r="I9" s="732"/>
      <c r="J9" s="732"/>
      <c r="K9" s="732"/>
      <c r="L9" s="732"/>
      <c r="M9" s="732"/>
      <c r="N9" s="732"/>
      <c r="O9" s="733">
        <f t="shared" si="0"/>
        <v>8768</v>
      </c>
    </row>
    <row r="10" spans="1:15">
      <c r="A10" s="734" t="s">
        <v>120</v>
      </c>
      <c r="B10" s="734" t="s">
        <v>149</v>
      </c>
      <c r="C10" s="732">
        <v>27590.37</v>
      </c>
      <c r="D10" s="732">
        <v>27741.63</v>
      </c>
      <c r="E10" s="732">
        <v>26378</v>
      </c>
      <c r="F10" s="732">
        <v>29362.59</v>
      </c>
      <c r="G10" s="732">
        <v>23143.84</v>
      </c>
      <c r="H10" s="732">
        <v>23981.56</v>
      </c>
      <c r="I10" s="732"/>
      <c r="J10" s="732"/>
      <c r="K10" s="732"/>
      <c r="L10" s="732"/>
      <c r="M10" s="732"/>
      <c r="N10" s="732"/>
      <c r="O10" s="733">
        <f t="shared" si="0"/>
        <v>158197.99</v>
      </c>
    </row>
    <row r="11" spans="1:15">
      <c r="A11" s="734" t="s">
        <v>120</v>
      </c>
      <c r="B11" s="734" t="s">
        <v>150</v>
      </c>
      <c r="C11" s="732">
        <v>14775.86</v>
      </c>
      <c r="D11" s="732">
        <v>14988.51</v>
      </c>
      <c r="E11" s="732">
        <v>12779.16</v>
      </c>
      <c r="F11" s="732">
        <v>15327.07</v>
      </c>
      <c r="G11" s="732">
        <v>13411.78</v>
      </c>
      <c r="H11" s="732">
        <v>13765.76</v>
      </c>
      <c r="I11" s="732"/>
      <c r="J11" s="732"/>
      <c r="K11" s="732"/>
      <c r="L11" s="732"/>
      <c r="M11" s="732"/>
      <c r="N11" s="732"/>
      <c r="O11" s="733">
        <f t="shared" si="0"/>
        <v>85048.14</v>
      </c>
    </row>
    <row r="12" spans="1:15">
      <c r="A12" s="734" t="s">
        <v>120</v>
      </c>
      <c r="B12" s="734" t="s">
        <v>331</v>
      </c>
      <c r="C12" s="732">
        <v>6323.68</v>
      </c>
      <c r="D12" s="732">
        <v>5938.82</v>
      </c>
      <c r="E12" s="732">
        <v>5539.35</v>
      </c>
      <c r="F12" s="732">
        <v>6245.85</v>
      </c>
      <c r="G12" s="732">
        <v>5181.1400000000003</v>
      </c>
      <c r="H12" s="732">
        <v>5144.83</v>
      </c>
      <c r="I12" s="732"/>
      <c r="J12" s="732"/>
      <c r="K12" s="732"/>
      <c r="L12" s="732"/>
      <c r="M12" s="732"/>
      <c r="N12" s="732"/>
      <c r="O12" s="733">
        <f t="shared" si="0"/>
        <v>34373.67</v>
      </c>
    </row>
    <row r="13" spans="1:15">
      <c r="A13" s="734" t="s">
        <v>120</v>
      </c>
      <c r="B13" s="734" t="s">
        <v>134</v>
      </c>
      <c r="C13" s="732">
        <v>5646</v>
      </c>
      <c r="D13" s="732">
        <v>5963</v>
      </c>
      <c r="E13" s="732">
        <v>5234</v>
      </c>
      <c r="F13" s="732">
        <v>5754</v>
      </c>
      <c r="G13" s="732">
        <v>5316</v>
      </c>
      <c r="H13" s="732">
        <v>5259</v>
      </c>
      <c r="I13" s="732"/>
      <c r="J13" s="732"/>
      <c r="K13" s="732"/>
      <c r="L13" s="732"/>
      <c r="M13" s="732"/>
      <c r="N13" s="732"/>
      <c r="O13" s="733">
        <f t="shared" si="0"/>
        <v>33172</v>
      </c>
    </row>
    <row r="14" spans="1:15">
      <c r="A14" s="734" t="s">
        <v>120</v>
      </c>
      <c r="B14" s="734" t="s">
        <v>135</v>
      </c>
      <c r="C14" s="732">
        <v>5596</v>
      </c>
      <c r="D14" s="732">
        <v>5658</v>
      </c>
      <c r="E14" s="732">
        <v>5245</v>
      </c>
      <c r="F14" s="732">
        <v>5970</v>
      </c>
      <c r="G14" s="732">
        <v>5056</v>
      </c>
      <c r="H14" s="732">
        <v>5369</v>
      </c>
      <c r="I14" s="732"/>
      <c r="J14" s="732"/>
      <c r="K14" s="732"/>
      <c r="L14" s="732"/>
      <c r="M14" s="732"/>
      <c r="N14" s="732"/>
      <c r="O14" s="733">
        <f t="shared" si="0"/>
        <v>32894</v>
      </c>
    </row>
    <row r="15" spans="1:15">
      <c r="A15" s="734" t="s">
        <v>120</v>
      </c>
      <c r="B15" s="734" t="s">
        <v>136</v>
      </c>
      <c r="C15" s="732">
        <v>3740</v>
      </c>
      <c r="D15" s="732">
        <v>3631</v>
      </c>
      <c r="E15" s="732">
        <v>3352</v>
      </c>
      <c r="F15" s="732">
        <v>3812</v>
      </c>
      <c r="G15" s="732">
        <v>3302</v>
      </c>
      <c r="H15" s="732">
        <v>3474</v>
      </c>
      <c r="I15" s="732"/>
      <c r="J15" s="732"/>
      <c r="K15" s="732"/>
      <c r="L15" s="732"/>
      <c r="M15" s="732"/>
      <c r="N15" s="732"/>
      <c r="O15" s="733">
        <f t="shared" si="0"/>
        <v>21311</v>
      </c>
    </row>
    <row r="16" spans="1:15">
      <c r="A16" s="734" t="s">
        <v>123</v>
      </c>
      <c r="B16" s="734" t="s">
        <v>124</v>
      </c>
      <c r="C16" s="732">
        <v>3426.8</v>
      </c>
      <c r="D16" s="732">
        <v>3445.83</v>
      </c>
      <c r="E16" s="732">
        <v>2858.35</v>
      </c>
      <c r="F16" s="732">
        <v>2642.02</v>
      </c>
      <c r="G16" s="732">
        <v>2207.9699999999998</v>
      </c>
      <c r="H16" s="732">
        <v>2522.4</v>
      </c>
      <c r="I16" s="732"/>
      <c r="J16" s="732"/>
      <c r="K16" s="732"/>
      <c r="L16" s="732"/>
      <c r="M16" s="732"/>
      <c r="N16" s="732"/>
      <c r="O16" s="733">
        <f t="shared" si="0"/>
        <v>17103.37</v>
      </c>
    </row>
    <row r="17" spans="1:15">
      <c r="A17" s="734" t="s">
        <v>123</v>
      </c>
      <c r="B17" s="734" t="s">
        <v>125</v>
      </c>
      <c r="C17" s="732">
        <v>824.67</v>
      </c>
      <c r="D17" s="732">
        <v>868.76</v>
      </c>
      <c r="E17" s="732">
        <v>663.65</v>
      </c>
      <c r="F17" s="732">
        <v>808</v>
      </c>
      <c r="G17" s="732">
        <v>445.93</v>
      </c>
      <c r="H17" s="732">
        <v>608.79999999999995</v>
      </c>
      <c r="I17" s="732"/>
      <c r="J17" s="732"/>
      <c r="K17" s="732"/>
      <c r="L17" s="732"/>
      <c r="M17" s="732"/>
      <c r="N17" s="732"/>
      <c r="O17" s="733">
        <f t="shared" si="0"/>
        <v>4219.8099999999995</v>
      </c>
    </row>
    <row r="18" spans="1:15">
      <c r="A18" s="734" t="s">
        <v>123</v>
      </c>
      <c r="B18" s="734" t="s">
        <v>126</v>
      </c>
      <c r="C18" s="732">
        <v>1902.92</v>
      </c>
      <c r="D18" s="732">
        <v>2063.61</v>
      </c>
      <c r="E18" s="732">
        <v>2216.33</v>
      </c>
      <c r="F18" s="732">
        <v>2330.0100000000002</v>
      </c>
      <c r="G18" s="732">
        <v>2016.96</v>
      </c>
      <c r="H18" s="732">
        <v>1998.26</v>
      </c>
      <c r="I18" s="732"/>
      <c r="J18" s="732"/>
      <c r="K18" s="732"/>
      <c r="L18" s="732"/>
      <c r="M18" s="732"/>
      <c r="N18" s="732"/>
      <c r="O18" s="733">
        <f t="shared" si="0"/>
        <v>12528.090000000002</v>
      </c>
    </row>
    <row r="19" spans="1:15">
      <c r="A19" s="705" t="s">
        <v>491</v>
      </c>
      <c r="B19" s="705" t="s">
        <v>124</v>
      </c>
      <c r="C19" s="732">
        <v>136.87</v>
      </c>
      <c r="D19" s="732">
        <v>86.38</v>
      </c>
      <c r="E19" s="732">
        <v>149.15</v>
      </c>
      <c r="F19" s="732">
        <v>149.13</v>
      </c>
      <c r="G19" s="732">
        <v>147.11000000000001</v>
      </c>
      <c r="H19" s="732">
        <v>116.94</v>
      </c>
      <c r="I19" s="732"/>
      <c r="J19" s="732"/>
      <c r="K19" s="732"/>
      <c r="L19" s="732"/>
      <c r="M19" s="732"/>
      <c r="N19" s="732"/>
      <c r="O19" s="733">
        <f t="shared" si="0"/>
        <v>785.57999999999993</v>
      </c>
    </row>
    <row r="20" spans="1:15">
      <c r="A20" s="734" t="s">
        <v>327</v>
      </c>
      <c r="B20" s="734" t="s">
        <v>14</v>
      </c>
      <c r="C20" s="732">
        <v>4603.18</v>
      </c>
      <c r="D20" s="732">
        <v>8497.3799999999992</v>
      </c>
      <c r="E20" s="732">
        <v>5544.57</v>
      </c>
      <c r="F20" s="732">
        <v>9494.48</v>
      </c>
      <c r="G20" s="732">
        <v>7129.03</v>
      </c>
      <c r="H20" s="732">
        <v>5556.66</v>
      </c>
      <c r="I20" s="732"/>
      <c r="J20" s="732"/>
      <c r="K20" s="732"/>
      <c r="L20" s="732"/>
      <c r="M20" s="732"/>
      <c r="N20" s="732"/>
      <c r="O20" s="733">
        <f t="shared" si="0"/>
        <v>40825.300000000003</v>
      </c>
    </row>
    <row r="21" spans="1:15">
      <c r="A21" s="734" t="s">
        <v>122</v>
      </c>
      <c r="B21" s="734" t="s">
        <v>22</v>
      </c>
      <c r="C21" s="732">
        <v>227.55</v>
      </c>
      <c r="D21" s="732">
        <v>72.75</v>
      </c>
      <c r="E21" s="732">
        <v>164.12</v>
      </c>
      <c r="F21" s="732">
        <v>200.95</v>
      </c>
      <c r="G21" s="732">
        <v>110.67</v>
      </c>
      <c r="H21" s="732">
        <v>98.67</v>
      </c>
      <c r="I21" s="732"/>
      <c r="J21" s="732"/>
      <c r="K21" s="732"/>
      <c r="L21" s="732"/>
      <c r="M21" s="732"/>
      <c r="N21" s="732"/>
      <c r="O21" s="733">
        <f t="shared" si="0"/>
        <v>874.70999999999992</v>
      </c>
    </row>
    <row r="22" spans="1:15">
      <c r="A22" s="734" t="s">
        <v>95</v>
      </c>
      <c r="B22" s="734" t="s">
        <v>14</v>
      </c>
      <c r="C22" s="732">
        <v>2743.24</v>
      </c>
      <c r="D22" s="732">
        <v>2872.96</v>
      </c>
      <c r="E22" s="732">
        <v>2574.4899999999998</v>
      </c>
      <c r="F22" s="732">
        <v>2656</v>
      </c>
      <c r="G22" s="732">
        <v>2054.9499999999998</v>
      </c>
      <c r="H22" s="732">
        <v>2225.9</v>
      </c>
      <c r="I22" s="732"/>
      <c r="J22" s="732"/>
      <c r="K22" s="732"/>
      <c r="L22" s="732"/>
      <c r="M22" s="732"/>
      <c r="N22" s="732"/>
      <c r="O22" s="733">
        <f t="shared" si="0"/>
        <v>15127.539999999999</v>
      </c>
    </row>
    <row r="23" spans="1:15">
      <c r="A23" s="734" t="s">
        <v>131</v>
      </c>
      <c r="B23" s="734" t="s">
        <v>23</v>
      </c>
      <c r="C23" s="732">
        <v>0</v>
      </c>
      <c r="D23" s="732">
        <v>0</v>
      </c>
      <c r="E23" s="732">
        <v>0</v>
      </c>
      <c r="F23" s="732">
        <v>0</v>
      </c>
      <c r="G23" s="732">
        <v>0</v>
      </c>
      <c r="H23" s="732">
        <v>0</v>
      </c>
      <c r="I23" s="732"/>
      <c r="J23" s="732"/>
      <c r="K23" s="732"/>
      <c r="L23" s="732"/>
      <c r="M23" s="732"/>
      <c r="N23" s="732"/>
      <c r="O23" s="733">
        <f t="shared" si="0"/>
        <v>0</v>
      </c>
    </row>
    <row r="24" spans="1:15">
      <c r="A24" s="734" t="s">
        <v>107</v>
      </c>
      <c r="B24" s="734" t="s">
        <v>14</v>
      </c>
      <c r="C24" s="732">
        <v>173.13</v>
      </c>
      <c r="D24" s="732">
        <v>19.12</v>
      </c>
      <c r="E24" s="732">
        <v>0</v>
      </c>
      <c r="F24" s="732">
        <v>61.84</v>
      </c>
      <c r="G24" s="732">
        <v>82.44</v>
      </c>
      <c r="H24" s="732">
        <v>69.14</v>
      </c>
      <c r="I24" s="732"/>
      <c r="J24" s="732"/>
      <c r="K24" s="732"/>
      <c r="L24" s="732"/>
      <c r="M24" s="732"/>
      <c r="N24" s="732"/>
      <c r="O24" s="733">
        <f t="shared" si="0"/>
        <v>405.66999999999996</v>
      </c>
    </row>
    <row r="25" spans="1:15">
      <c r="A25" s="734" t="s">
        <v>259</v>
      </c>
      <c r="B25" s="734" t="s">
        <v>14</v>
      </c>
      <c r="C25" s="732">
        <v>1568.24</v>
      </c>
      <c r="D25" s="732">
        <v>1474.07</v>
      </c>
      <c r="E25" s="732">
        <v>1223.8599999999999</v>
      </c>
      <c r="F25" s="732">
        <v>1414.96</v>
      </c>
      <c r="G25" s="732">
        <v>1249.98</v>
      </c>
      <c r="H25" s="732">
        <v>1658.4</v>
      </c>
      <c r="I25" s="732"/>
      <c r="J25" s="732"/>
      <c r="K25" s="732"/>
      <c r="L25" s="732"/>
      <c r="M25" s="732"/>
      <c r="N25" s="732"/>
      <c r="O25" s="733">
        <f t="shared" si="0"/>
        <v>8589.51</v>
      </c>
    </row>
    <row r="26" spans="1:15">
      <c r="A26" s="734" t="s">
        <v>31</v>
      </c>
      <c r="B26" s="734" t="s">
        <v>23</v>
      </c>
      <c r="C26" s="732">
        <v>0</v>
      </c>
      <c r="D26" s="732">
        <v>0</v>
      </c>
      <c r="E26" s="732">
        <v>0</v>
      </c>
      <c r="F26" s="732">
        <v>0</v>
      </c>
      <c r="G26" s="732">
        <v>0</v>
      </c>
      <c r="H26" s="732">
        <v>0</v>
      </c>
      <c r="I26" s="732"/>
      <c r="J26" s="732"/>
      <c r="K26" s="732"/>
      <c r="L26" s="732"/>
      <c r="M26" s="732"/>
      <c r="N26" s="732"/>
      <c r="O26" s="733">
        <f t="shared" si="0"/>
        <v>0</v>
      </c>
    </row>
    <row r="27" spans="1:15">
      <c r="A27" s="731" t="s">
        <v>120</v>
      </c>
      <c r="B27" s="731" t="s">
        <v>328</v>
      </c>
      <c r="C27" s="732">
        <v>365.88</v>
      </c>
      <c r="D27" s="732">
        <v>866.71</v>
      </c>
      <c r="E27" s="732">
        <v>367.88</v>
      </c>
      <c r="F27" s="732">
        <v>844.72</v>
      </c>
      <c r="G27" s="732">
        <v>416.97</v>
      </c>
      <c r="H27" s="732">
        <v>351.55</v>
      </c>
      <c r="I27" s="732"/>
      <c r="J27" s="732"/>
      <c r="K27" s="732"/>
      <c r="L27" s="732"/>
      <c r="M27" s="732"/>
      <c r="N27" s="732"/>
      <c r="O27" s="733">
        <f t="shared" si="0"/>
        <v>3213.7100000000009</v>
      </c>
    </row>
    <row r="28" spans="1:15">
      <c r="A28" s="740"/>
      <c r="B28" s="740" t="s">
        <v>137</v>
      </c>
      <c r="C28" s="741">
        <f t="shared" ref="C28:O28" si="1">SUM(C5:C27)</f>
        <v>124231.97000000002</v>
      </c>
      <c r="D28" s="741">
        <f t="shared" si="1"/>
        <v>127770.02</v>
      </c>
      <c r="E28" s="741">
        <f t="shared" si="1"/>
        <v>116338</v>
      </c>
      <c r="F28" s="741">
        <f t="shared" si="1"/>
        <v>131496.00999999998</v>
      </c>
      <c r="G28" s="741">
        <f t="shared" si="1"/>
        <v>108467.97999999998</v>
      </c>
      <c r="H28" s="741">
        <f t="shared" si="1"/>
        <v>108532.01</v>
      </c>
      <c r="I28" s="741">
        <f t="shared" si="1"/>
        <v>0</v>
      </c>
      <c r="J28" s="741">
        <f t="shared" si="1"/>
        <v>0</v>
      </c>
      <c r="K28" s="741">
        <f t="shared" si="1"/>
        <v>0</v>
      </c>
      <c r="L28" s="741">
        <f t="shared" si="1"/>
        <v>0</v>
      </c>
      <c r="M28" s="741">
        <f t="shared" si="1"/>
        <v>0</v>
      </c>
      <c r="N28" s="741">
        <f t="shared" si="1"/>
        <v>0</v>
      </c>
      <c r="O28" s="741">
        <f t="shared" si="1"/>
        <v>716835.99000000011</v>
      </c>
    </row>
    <row r="30" spans="1:15" ht="21">
      <c r="A30" s="739" t="s">
        <v>19</v>
      </c>
      <c r="B30" s="739" t="s">
        <v>486</v>
      </c>
      <c r="C30" s="967" t="s">
        <v>8</v>
      </c>
      <c r="D30" s="968" t="s">
        <v>78</v>
      </c>
      <c r="E30" s="968" t="s">
        <v>79</v>
      </c>
      <c r="F30" s="968" t="s">
        <v>80</v>
      </c>
      <c r="G30" s="968" t="s">
        <v>81</v>
      </c>
      <c r="H30" s="968" t="s">
        <v>82</v>
      </c>
      <c r="I30" s="968" t="s">
        <v>83</v>
      </c>
      <c r="J30" s="968" t="s">
        <v>84</v>
      </c>
      <c r="K30" s="968" t="s">
        <v>85</v>
      </c>
      <c r="L30" s="968" t="s">
        <v>4</v>
      </c>
      <c r="M30" s="968" t="s">
        <v>5</v>
      </c>
      <c r="N30" s="968" t="s">
        <v>6</v>
      </c>
      <c r="O30" s="968" t="s">
        <v>7</v>
      </c>
    </row>
    <row r="31" spans="1:15">
      <c r="A31" s="736" t="s">
        <v>117</v>
      </c>
      <c r="B31" s="737" t="s">
        <v>118</v>
      </c>
      <c r="C31" s="728" t="s">
        <v>138</v>
      </c>
      <c r="D31" s="727" t="s">
        <v>138</v>
      </c>
      <c r="E31" s="727" t="s">
        <v>138</v>
      </c>
      <c r="F31" s="727" t="s">
        <v>138</v>
      </c>
      <c r="G31" s="727" t="s">
        <v>138</v>
      </c>
      <c r="H31" s="727" t="s">
        <v>138</v>
      </c>
      <c r="I31" s="727" t="s">
        <v>138</v>
      </c>
      <c r="J31" s="727" t="s">
        <v>138</v>
      </c>
      <c r="K31" s="727" t="s">
        <v>138</v>
      </c>
      <c r="L31" s="727" t="s">
        <v>138</v>
      </c>
      <c r="M31" s="727" t="s">
        <v>138</v>
      </c>
      <c r="N31" s="727" t="s">
        <v>138</v>
      </c>
      <c r="O31" s="969" t="s">
        <v>138</v>
      </c>
    </row>
    <row r="32" spans="1:15">
      <c r="A32" s="738" t="s">
        <v>119</v>
      </c>
      <c r="B32" s="738"/>
      <c r="C32" s="729" t="s">
        <v>1</v>
      </c>
      <c r="D32" s="730" t="s">
        <v>1</v>
      </c>
      <c r="E32" s="730" t="s">
        <v>1</v>
      </c>
      <c r="F32" s="730" t="s">
        <v>1</v>
      </c>
      <c r="G32" s="730" t="s">
        <v>1</v>
      </c>
      <c r="H32" s="730" t="s">
        <v>1</v>
      </c>
      <c r="I32" s="730" t="s">
        <v>1</v>
      </c>
      <c r="J32" s="730" t="s">
        <v>1</v>
      </c>
      <c r="K32" s="730" t="s">
        <v>1</v>
      </c>
      <c r="L32" s="730" t="s">
        <v>1</v>
      </c>
      <c r="M32" s="730" t="s">
        <v>1</v>
      </c>
      <c r="N32" s="730" t="s">
        <v>1</v>
      </c>
      <c r="O32" s="969" t="s">
        <v>1</v>
      </c>
    </row>
    <row r="33" spans="1:15">
      <c r="A33" s="705" t="s">
        <v>127</v>
      </c>
      <c r="B33" s="705" t="s">
        <v>128</v>
      </c>
      <c r="C33" s="732">
        <v>1965.01</v>
      </c>
      <c r="D33" s="732">
        <v>2268.19</v>
      </c>
      <c r="E33" s="732">
        <v>1945.91</v>
      </c>
      <c r="F33" s="732">
        <v>2403.37</v>
      </c>
      <c r="G33" s="732">
        <v>1605.51</v>
      </c>
      <c r="H33" s="732">
        <v>955.75</v>
      </c>
      <c r="I33" s="732">
        <v>1879.29</v>
      </c>
      <c r="J33" s="732">
        <v>1806.36</v>
      </c>
      <c r="K33" s="732">
        <v>1997.75</v>
      </c>
      <c r="L33" s="732">
        <v>2133.84</v>
      </c>
      <c r="M33" s="732">
        <v>2178.9699999999998</v>
      </c>
      <c r="N33" s="732">
        <v>2039.4</v>
      </c>
      <c r="O33" s="733">
        <f t="shared" ref="O33:O55" si="2">SUM(C33:N33)</f>
        <v>23179.350000000002</v>
      </c>
    </row>
    <row r="34" spans="1:15">
      <c r="A34" s="705" t="s">
        <v>129</v>
      </c>
      <c r="B34" s="705" t="s">
        <v>130</v>
      </c>
      <c r="C34" s="732">
        <v>58.26</v>
      </c>
      <c r="D34" s="732">
        <v>205.52</v>
      </c>
      <c r="E34" s="732">
        <v>98.21</v>
      </c>
      <c r="F34" s="732">
        <v>200.76</v>
      </c>
      <c r="G34" s="732">
        <v>107.62</v>
      </c>
      <c r="H34" s="732">
        <v>160.47999999999999</v>
      </c>
      <c r="I34" s="732">
        <v>73.489999999999995</v>
      </c>
      <c r="J34" s="732">
        <v>41.81</v>
      </c>
      <c r="K34" s="732">
        <v>61.54</v>
      </c>
      <c r="L34" s="732">
        <v>101.89</v>
      </c>
      <c r="M34" s="732">
        <v>156.16</v>
      </c>
      <c r="N34" s="732">
        <v>156.08000000000001</v>
      </c>
      <c r="O34" s="733">
        <f t="shared" si="2"/>
        <v>1421.8200000000002</v>
      </c>
    </row>
    <row r="35" spans="1:15">
      <c r="A35" s="735" t="s">
        <v>240</v>
      </c>
      <c r="B35" s="735" t="s">
        <v>322</v>
      </c>
      <c r="C35" s="732">
        <v>29148.32</v>
      </c>
      <c r="D35" s="732">
        <v>29672.77</v>
      </c>
      <c r="E35" s="732">
        <v>27534.92</v>
      </c>
      <c r="F35" s="732">
        <v>32406.38</v>
      </c>
      <c r="G35" s="732">
        <v>28788.7</v>
      </c>
      <c r="H35" s="732">
        <v>24361.47</v>
      </c>
      <c r="I35" s="732">
        <f>32620.35+231.27</f>
        <v>32851.619999999995</v>
      </c>
      <c r="J35" s="732">
        <v>31409.9</v>
      </c>
      <c r="K35" s="732">
        <v>33611.97</v>
      </c>
      <c r="L35" s="732">
        <v>33241.019999999997</v>
      </c>
      <c r="M35" s="732">
        <v>36381.89</v>
      </c>
      <c r="N35" s="732">
        <v>34849.050000000003</v>
      </c>
      <c r="O35" s="733">
        <f t="shared" si="2"/>
        <v>374258.01</v>
      </c>
    </row>
    <row r="36" spans="1:15">
      <c r="A36" s="735" t="s">
        <v>240</v>
      </c>
      <c r="B36" s="735" t="s">
        <v>321</v>
      </c>
      <c r="C36" s="732">
        <v>767.49</v>
      </c>
      <c r="D36" s="732">
        <v>486.87</v>
      </c>
      <c r="E36" s="732">
        <v>696.84</v>
      </c>
      <c r="F36" s="732">
        <v>388.86</v>
      </c>
      <c r="G36" s="732">
        <v>488.39</v>
      </c>
      <c r="H36" s="732">
        <v>645.19000000000005</v>
      </c>
      <c r="I36" s="732">
        <v>1429.99</v>
      </c>
      <c r="J36" s="732">
        <v>656.15</v>
      </c>
      <c r="K36" s="732">
        <v>775.28</v>
      </c>
      <c r="L36" s="732">
        <v>1484.23</v>
      </c>
      <c r="M36" s="732">
        <v>1481.67</v>
      </c>
      <c r="N36" s="732">
        <v>805.24</v>
      </c>
      <c r="O36" s="733">
        <f t="shared" si="2"/>
        <v>10106.199999999999</v>
      </c>
    </row>
    <row r="37" spans="1:15">
      <c r="A37" s="735" t="s">
        <v>240</v>
      </c>
      <c r="B37" s="735" t="s">
        <v>320</v>
      </c>
      <c r="C37" s="732">
        <v>724</v>
      </c>
      <c r="D37" s="732">
        <v>484</v>
      </c>
      <c r="E37" s="732">
        <v>498</v>
      </c>
      <c r="F37" s="732">
        <v>563</v>
      </c>
      <c r="G37" s="732">
        <v>551</v>
      </c>
      <c r="H37" s="732">
        <v>583</v>
      </c>
      <c r="I37" s="732">
        <v>687</v>
      </c>
      <c r="J37" s="732">
        <v>830</v>
      </c>
      <c r="K37" s="732">
        <v>1312</v>
      </c>
      <c r="L37" s="732">
        <v>923</v>
      </c>
      <c r="M37" s="732">
        <v>1170</v>
      </c>
      <c r="N37" s="732">
        <v>1555</v>
      </c>
      <c r="O37" s="733">
        <f t="shared" si="2"/>
        <v>9880</v>
      </c>
    </row>
    <row r="38" spans="1:15">
      <c r="A38" s="735" t="s">
        <v>120</v>
      </c>
      <c r="B38" s="735" t="s">
        <v>149</v>
      </c>
      <c r="C38" s="732">
        <v>20866.939999999999</v>
      </c>
      <c r="D38" s="732">
        <v>23696.7</v>
      </c>
      <c r="E38" s="732">
        <v>21765.23</v>
      </c>
      <c r="F38" s="732">
        <v>25366.69</v>
      </c>
      <c r="G38" s="732">
        <v>24895.24</v>
      </c>
      <c r="H38" s="732">
        <v>21569.39</v>
      </c>
      <c r="I38" s="732">
        <v>25530.39</v>
      </c>
      <c r="J38" s="732">
        <v>23557.71</v>
      </c>
      <c r="K38" s="732">
        <v>26294.58</v>
      </c>
      <c r="L38" s="732">
        <v>25569.24</v>
      </c>
      <c r="M38" s="732">
        <v>27365.73</v>
      </c>
      <c r="N38" s="732">
        <v>24366.75</v>
      </c>
      <c r="O38" s="733">
        <f t="shared" si="2"/>
        <v>290844.58999999997</v>
      </c>
    </row>
    <row r="39" spans="1:15">
      <c r="A39" s="735" t="s">
        <v>120</v>
      </c>
      <c r="B39" s="735" t="s">
        <v>150</v>
      </c>
      <c r="C39" s="732">
        <v>12202.91</v>
      </c>
      <c r="D39" s="732">
        <v>13428.31</v>
      </c>
      <c r="E39" s="732">
        <v>11350.53</v>
      </c>
      <c r="F39" s="732">
        <v>12962.96</v>
      </c>
      <c r="G39" s="732">
        <v>12049.59</v>
      </c>
      <c r="H39" s="732">
        <v>10317.709999999999</v>
      </c>
      <c r="I39" s="732">
        <v>13329.21</v>
      </c>
      <c r="J39" s="732">
        <v>13099.04</v>
      </c>
      <c r="K39" s="732">
        <v>13435.18</v>
      </c>
      <c r="L39" s="732">
        <v>13544.03</v>
      </c>
      <c r="M39" s="732">
        <v>14186.44</v>
      </c>
      <c r="N39" s="732">
        <v>12523.67</v>
      </c>
      <c r="O39" s="733">
        <f t="shared" si="2"/>
        <v>152429.58000000002</v>
      </c>
    </row>
    <row r="40" spans="1:15">
      <c r="A40" s="735" t="s">
        <v>120</v>
      </c>
      <c r="B40" s="735" t="s">
        <v>331</v>
      </c>
      <c r="C40" s="732">
        <v>4701.53</v>
      </c>
      <c r="D40" s="732">
        <v>4883.21</v>
      </c>
      <c r="E40" s="732">
        <v>4392.68</v>
      </c>
      <c r="F40" s="732">
        <v>5521.56</v>
      </c>
      <c r="G40" s="732">
        <v>4580.75</v>
      </c>
      <c r="H40" s="732">
        <v>4362.91</v>
      </c>
      <c r="I40" s="732">
        <v>5922.06</v>
      </c>
      <c r="J40" s="732">
        <v>5159.74</v>
      </c>
      <c r="K40" s="732">
        <v>5950.28</v>
      </c>
      <c r="L40" s="732">
        <v>5965.49</v>
      </c>
      <c r="M40" s="732">
        <v>6483.16</v>
      </c>
      <c r="N40" s="732">
        <v>5133.79</v>
      </c>
      <c r="O40" s="733">
        <f t="shared" si="2"/>
        <v>63057.159999999996</v>
      </c>
    </row>
    <row r="41" spans="1:15">
      <c r="A41" s="735" t="s">
        <v>120</v>
      </c>
      <c r="B41" s="735" t="s">
        <v>134</v>
      </c>
      <c r="C41" s="732">
        <v>5634</v>
      </c>
      <c r="D41" s="732">
        <v>6111</v>
      </c>
      <c r="E41" s="732">
        <v>5398</v>
      </c>
      <c r="F41" s="732">
        <v>5865</v>
      </c>
      <c r="G41" s="732">
        <v>5483</v>
      </c>
      <c r="H41" s="732">
        <v>5181</v>
      </c>
      <c r="I41" s="732">
        <v>5455</v>
      </c>
      <c r="J41" s="732">
        <v>5308</v>
      </c>
      <c r="K41" s="732">
        <v>5789</v>
      </c>
      <c r="L41" s="732">
        <v>5436</v>
      </c>
      <c r="M41" s="732">
        <v>5608</v>
      </c>
      <c r="N41" s="732">
        <v>5507</v>
      </c>
      <c r="O41" s="733">
        <f t="shared" si="2"/>
        <v>66775</v>
      </c>
    </row>
    <row r="42" spans="1:15">
      <c r="A42" s="735" t="s">
        <v>120</v>
      </c>
      <c r="B42" s="735" t="s">
        <v>135</v>
      </c>
      <c r="C42" s="732">
        <v>4986</v>
      </c>
      <c r="D42" s="732">
        <v>5369</v>
      </c>
      <c r="E42" s="732">
        <v>4623</v>
      </c>
      <c r="F42" s="732">
        <v>5499</v>
      </c>
      <c r="G42" s="732">
        <v>5062</v>
      </c>
      <c r="H42" s="732">
        <v>4492</v>
      </c>
      <c r="I42" s="732">
        <v>5311</v>
      </c>
      <c r="J42" s="732">
        <v>5004</v>
      </c>
      <c r="K42" s="732">
        <v>5271</v>
      </c>
      <c r="L42" s="732">
        <v>5132</v>
      </c>
      <c r="M42" s="732">
        <v>5482</v>
      </c>
      <c r="N42" s="732">
        <v>5123</v>
      </c>
      <c r="O42" s="733">
        <f t="shared" si="2"/>
        <v>61354</v>
      </c>
    </row>
    <row r="43" spans="1:15">
      <c r="A43" s="735" t="s">
        <v>120</v>
      </c>
      <c r="B43" s="735" t="s">
        <v>136</v>
      </c>
      <c r="C43" s="732">
        <v>3632</v>
      </c>
      <c r="D43" s="732">
        <v>3924</v>
      </c>
      <c r="E43" s="732">
        <v>3133</v>
      </c>
      <c r="F43" s="732">
        <v>3769</v>
      </c>
      <c r="G43" s="732">
        <v>3363</v>
      </c>
      <c r="H43" s="732">
        <v>2997</v>
      </c>
      <c r="I43" s="732">
        <v>3277</v>
      </c>
      <c r="J43" s="732">
        <v>3176</v>
      </c>
      <c r="K43" s="732">
        <v>3288</v>
      </c>
      <c r="L43" s="732">
        <v>3322</v>
      </c>
      <c r="M43" s="732">
        <v>3604</v>
      </c>
      <c r="N43" s="732">
        <v>3370</v>
      </c>
      <c r="O43" s="733">
        <f t="shared" si="2"/>
        <v>40855</v>
      </c>
    </row>
    <row r="44" spans="1:15">
      <c r="A44" s="705" t="s">
        <v>490</v>
      </c>
      <c r="B44" s="735" t="s">
        <v>124</v>
      </c>
      <c r="C44" s="732">
        <v>2863.11</v>
      </c>
      <c r="D44" s="732">
        <v>2734.63</v>
      </c>
      <c r="E44" s="732">
        <v>2891.67</v>
      </c>
      <c r="F44" s="732">
        <v>2961.75</v>
      </c>
      <c r="G44" s="732">
        <v>2653.26</v>
      </c>
      <c r="H44" s="732">
        <v>2146.33</v>
      </c>
      <c r="I44" s="732">
        <v>3151.92</v>
      </c>
      <c r="J44" s="732">
        <v>3038.6</v>
      </c>
      <c r="K44" s="732">
        <v>2449.31</v>
      </c>
      <c r="L44" s="732">
        <v>2681.16</v>
      </c>
      <c r="M44" s="732">
        <v>2417.54</v>
      </c>
      <c r="N44" s="732">
        <v>2572.29</v>
      </c>
      <c r="O44" s="733">
        <f t="shared" si="2"/>
        <v>32561.57</v>
      </c>
    </row>
    <row r="45" spans="1:15">
      <c r="A45" s="705" t="s">
        <v>490</v>
      </c>
      <c r="B45" s="735" t="s">
        <v>125</v>
      </c>
      <c r="C45" s="732">
        <v>856.75</v>
      </c>
      <c r="D45" s="732">
        <v>1034.19</v>
      </c>
      <c r="E45" s="732">
        <v>822.36</v>
      </c>
      <c r="F45" s="732">
        <v>1072.29</v>
      </c>
      <c r="G45" s="732">
        <v>730.32</v>
      </c>
      <c r="H45" s="732">
        <v>688.54</v>
      </c>
      <c r="I45" s="732">
        <v>649.5</v>
      </c>
      <c r="J45" s="732">
        <v>676.76</v>
      </c>
      <c r="K45" s="732">
        <v>779.14</v>
      </c>
      <c r="L45" s="732">
        <v>807.11</v>
      </c>
      <c r="M45" s="732">
        <v>817.7</v>
      </c>
      <c r="N45" s="732">
        <v>650.16</v>
      </c>
      <c r="O45" s="733">
        <f t="shared" si="2"/>
        <v>9584.82</v>
      </c>
    </row>
    <row r="46" spans="1:15">
      <c r="A46" s="705" t="s">
        <v>490</v>
      </c>
      <c r="B46" s="735" t="s">
        <v>126</v>
      </c>
      <c r="C46" s="732">
        <v>2699.72</v>
      </c>
      <c r="D46" s="732">
        <v>3418.83</v>
      </c>
      <c r="E46" s="732">
        <v>2828.37</v>
      </c>
      <c r="F46" s="732">
        <v>3140.87</v>
      </c>
      <c r="G46" s="732">
        <v>2839.89</v>
      </c>
      <c r="H46" s="732">
        <v>1938.38</v>
      </c>
      <c r="I46" s="732">
        <v>2554.02</v>
      </c>
      <c r="J46" s="732">
        <v>2464.71</v>
      </c>
      <c r="K46" s="732">
        <v>2629.25</v>
      </c>
      <c r="L46" s="732">
        <v>2422.6</v>
      </c>
      <c r="M46" s="732">
        <v>2448.04</v>
      </c>
      <c r="N46" s="732">
        <v>2134.1799999999998</v>
      </c>
      <c r="O46" s="733">
        <f t="shared" si="2"/>
        <v>31518.859999999997</v>
      </c>
    </row>
    <row r="47" spans="1:15">
      <c r="A47" s="735" t="s">
        <v>491</v>
      </c>
      <c r="B47" s="735" t="s">
        <v>124</v>
      </c>
      <c r="C47" s="732">
        <v>0</v>
      </c>
      <c r="D47" s="732">
        <v>0</v>
      </c>
      <c r="E47" s="732">
        <v>0</v>
      </c>
      <c r="F47" s="732">
        <v>0</v>
      </c>
      <c r="G47" s="732">
        <v>0</v>
      </c>
      <c r="H47" s="732">
        <v>0</v>
      </c>
      <c r="I47" s="732">
        <v>132.33000000000001</v>
      </c>
      <c r="J47" s="732">
        <v>215.89</v>
      </c>
      <c r="K47" s="732">
        <v>210.59</v>
      </c>
      <c r="L47" s="732">
        <v>200.17</v>
      </c>
      <c r="M47" s="732">
        <v>192.55</v>
      </c>
      <c r="N47" s="732">
        <v>156.63</v>
      </c>
      <c r="O47" s="733">
        <f t="shared" si="2"/>
        <v>1108.1599999999999</v>
      </c>
    </row>
    <row r="48" spans="1:15">
      <c r="A48" s="735" t="s">
        <v>327</v>
      </c>
      <c r="B48" s="735" t="s">
        <v>14</v>
      </c>
      <c r="C48" s="732">
        <f>8073.13-14.46</f>
        <v>8058.67</v>
      </c>
      <c r="D48" s="732">
        <v>10560.89</v>
      </c>
      <c r="E48" s="732">
        <f>6873.71+5</f>
        <v>6878.71</v>
      </c>
      <c r="F48" s="732">
        <v>8840.0400000000009</v>
      </c>
      <c r="G48" s="732">
        <v>4889.4799999999996</v>
      </c>
      <c r="H48" s="732">
        <v>4376.34</v>
      </c>
      <c r="I48" s="732">
        <v>4684.2299999999996</v>
      </c>
      <c r="J48" s="732">
        <v>4236.66</v>
      </c>
      <c r="K48" s="732">
        <v>4441.41</v>
      </c>
      <c r="L48" s="732">
        <v>5402.04</v>
      </c>
      <c r="M48" s="732">
        <v>6297.43</v>
      </c>
      <c r="N48" s="732">
        <v>5385.75</v>
      </c>
      <c r="O48" s="733">
        <f t="shared" si="2"/>
        <v>74051.649999999994</v>
      </c>
    </row>
    <row r="49" spans="1:15">
      <c r="A49" s="735" t="s">
        <v>122</v>
      </c>
      <c r="B49" s="735" t="s">
        <v>22</v>
      </c>
      <c r="C49" s="732">
        <v>105.25</v>
      </c>
      <c r="D49" s="732">
        <v>134.81</v>
      </c>
      <c r="E49" s="732">
        <v>69.27</v>
      </c>
      <c r="F49" s="732">
        <v>174.08</v>
      </c>
      <c r="G49" s="732">
        <v>152.83000000000001</v>
      </c>
      <c r="H49" s="732">
        <v>138.06</v>
      </c>
      <c r="I49" s="732">
        <v>178.85</v>
      </c>
      <c r="J49" s="732">
        <v>196.8</v>
      </c>
      <c r="K49" s="732">
        <v>212.55</v>
      </c>
      <c r="L49" s="732">
        <v>177.79</v>
      </c>
      <c r="M49" s="732">
        <v>105.67</v>
      </c>
      <c r="N49" s="732">
        <v>149.03</v>
      </c>
      <c r="O49" s="733">
        <f t="shared" si="2"/>
        <v>1794.99</v>
      </c>
    </row>
    <row r="50" spans="1:15">
      <c r="A50" s="735" t="s">
        <v>95</v>
      </c>
      <c r="B50" s="735" t="s">
        <v>14</v>
      </c>
      <c r="C50" s="732">
        <v>3031.98</v>
      </c>
      <c r="D50" s="732">
        <v>3215.55</v>
      </c>
      <c r="E50" s="732">
        <v>2850.21</v>
      </c>
      <c r="F50" s="732">
        <v>3290.83</v>
      </c>
      <c r="G50" s="732">
        <v>2700.91</v>
      </c>
      <c r="H50" s="732">
        <v>2502.0300000000002</v>
      </c>
      <c r="I50" s="732">
        <v>2970.13</v>
      </c>
      <c r="J50" s="732">
        <v>2854.06</v>
      </c>
      <c r="K50" s="732">
        <v>3019.77</v>
      </c>
      <c r="L50" s="732">
        <v>3057.11</v>
      </c>
      <c r="M50" s="732">
        <v>2901.2</v>
      </c>
      <c r="N50" s="732">
        <v>2627.61</v>
      </c>
      <c r="O50" s="733">
        <f t="shared" si="2"/>
        <v>35021.390000000007</v>
      </c>
    </row>
    <row r="51" spans="1:15">
      <c r="A51" s="735" t="s">
        <v>131</v>
      </c>
      <c r="B51" s="735" t="s">
        <v>23</v>
      </c>
      <c r="C51" s="732">
        <v>0</v>
      </c>
      <c r="D51" s="732">
        <v>0</v>
      </c>
      <c r="E51" s="732">
        <v>494.73</v>
      </c>
      <c r="F51" s="732">
        <v>525.16999999999996</v>
      </c>
      <c r="G51" s="732">
        <v>351.88</v>
      </c>
      <c r="H51" s="732">
        <v>0</v>
      </c>
      <c r="I51" s="732">
        <v>0</v>
      </c>
      <c r="J51" s="732">
        <v>0</v>
      </c>
      <c r="K51" s="732">
        <v>0</v>
      </c>
      <c r="L51" s="732">
        <v>0</v>
      </c>
      <c r="M51" s="732">
        <v>0</v>
      </c>
      <c r="N51" s="732">
        <v>0</v>
      </c>
      <c r="O51" s="733">
        <f t="shared" si="2"/>
        <v>1371.78</v>
      </c>
    </row>
    <row r="52" spans="1:15">
      <c r="A52" s="735" t="s">
        <v>107</v>
      </c>
      <c r="B52" s="735" t="s">
        <v>14</v>
      </c>
      <c r="C52" s="732">
        <v>179.67</v>
      </c>
      <c r="D52" s="732">
        <v>125.15</v>
      </c>
      <c r="E52" s="732">
        <v>0</v>
      </c>
      <c r="F52" s="732">
        <v>37.54</v>
      </c>
      <c r="G52" s="732">
        <v>59.56</v>
      </c>
      <c r="H52" s="732">
        <v>0</v>
      </c>
      <c r="I52" s="732">
        <v>66.22</v>
      </c>
      <c r="J52" s="732">
        <v>135.34</v>
      </c>
      <c r="K52" s="732">
        <v>98.49</v>
      </c>
      <c r="L52" s="732">
        <v>141.41</v>
      </c>
      <c r="M52" s="732">
        <v>225.79</v>
      </c>
      <c r="N52" s="732">
        <v>114.91</v>
      </c>
      <c r="O52" s="733">
        <f t="shared" si="2"/>
        <v>1184.0800000000002</v>
      </c>
    </row>
    <row r="53" spans="1:15">
      <c r="A53" s="735" t="s">
        <v>259</v>
      </c>
      <c r="B53" s="735" t="s">
        <v>14</v>
      </c>
      <c r="C53" s="732">
        <v>1319.89</v>
      </c>
      <c r="D53" s="732">
        <v>1317.9</v>
      </c>
      <c r="E53" s="732">
        <v>1332.29</v>
      </c>
      <c r="F53" s="732">
        <v>1499.11</v>
      </c>
      <c r="G53" s="732">
        <v>1395.6</v>
      </c>
      <c r="H53" s="732">
        <v>1510.48</v>
      </c>
      <c r="I53" s="732">
        <v>1774.07</v>
      </c>
      <c r="J53" s="732">
        <v>1986.53</v>
      </c>
      <c r="K53" s="732">
        <v>2461.88</v>
      </c>
      <c r="L53" s="732">
        <v>1931.53</v>
      </c>
      <c r="M53" s="732">
        <v>1795.76</v>
      </c>
      <c r="N53" s="732">
        <v>1433.26</v>
      </c>
      <c r="O53" s="733">
        <f t="shared" si="2"/>
        <v>19758.299999999996</v>
      </c>
    </row>
    <row r="54" spans="1:15">
      <c r="A54" s="735" t="s">
        <v>31</v>
      </c>
      <c r="B54" s="735" t="s">
        <v>23</v>
      </c>
      <c r="C54" s="732">
        <v>0</v>
      </c>
      <c r="D54" s="732">
        <v>0</v>
      </c>
      <c r="E54" s="732">
        <v>47.39</v>
      </c>
      <c r="F54" s="732">
        <v>136.68</v>
      </c>
      <c r="G54" s="732">
        <v>98.28</v>
      </c>
      <c r="H54" s="732">
        <v>0</v>
      </c>
      <c r="I54" s="732">
        <v>0</v>
      </c>
      <c r="J54" s="732">
        <v>0</v>
      </c>
      <c r="K54" s="732">
        <v>0</v>
      </c>
      <c r="L54" s="732">
        <v>0</v>
      </c>
      <c r="M54" s="732">
        <v>0</v>
      </c>
      <c r="N54" s="732">
        <v>0</v>
      </c>
      <c r="O54" s="733">
        <f t="shared" si="2"/>
        <v>282.35000000000002</v>
      </c>
    </row>
    <row r="55" spans="1:15">
      <c r="A55" s="705" t="s">
        <v>120</v>
      </c>
      <c r="B55" s="705" t="s">
        <v>328</v>
      </c>
      <c r="C55" s="732">
        <f>881.08+14.46</f>
        <v>895.54000000000008</v>
      </c>
      <c r="D55" s="732">
        <v>1107.52</v>
      </c>
      <c r="E55" s="732">
        <v>560.69000000000005</v>
      </c>
      <c r="F55" s="732">
        <v>665.06</v>
      </c>
      <c r="G55" s="732">
        <v>488.18</v>
      </c>
      <c r="H55" s="732">
        <v>257.93</v>
      </c>
      <c r="I55" s="732">
        <v>227.65</v>
      </c>
      <c r="J55" s="732">
        <v>371.93</v>
      </c>
      <c r="K55" s="732">
        <v>266.02</v>
      </c>
      <c r="L55" s="732">
        <v>309.35000000000002</v>
      </c>
      <c r="M55" s="732">
        <v>461.28</v>
      </c>
      <c r="N55" s="732">
        <v>275.20999999999998</v>
      </c>
      <c r="O55" s="733">
        <f t="shared" si="2"/>
        <v>5886.3600000000006</v>
      </c>
    </row>
    <row r="56" spans="1:15">
      <c r="A56" s="740"/>
      <c r="B56" s="740" t="s">
        <v>137</v>
      </c>
      <c r="C56" s="741">
        <f t="shared" ref="C56:O56" si="3">SUM(C33:C55)</f>
        <v>104697.04</v>
      </c>
      <c r="D56" s="741">
        <f t="shared" si="3"/>
        <v>114179.04000000001</v>
      </c>
      <c r="E56" s="741">
        <f t="shared" si="3"/>
        <v>100212.01000000001</v>
      </c>
      <c r="F56" s="741">
        <f t="shared" si="3"/>
        <v>117289.99999999996</v>
      </c>
      <c r="G56" s="741">
        <f t="shared" si="3"/>
        <v>103334.99</v>
      </c>
      <c r="H56" s="741">
        <f t="shared" si="3"/>
        <v>89183.989999999976</v>
      </c>
      <c r="I56" s="741">
        <f t="shared" si="3"/>
        <v>112134.97</v>
      </c>
      <c r="J56" s="741">
        <f t="shared" si="3"/>
        <v>106225.99</v>
      </c>
      <c r="K56" s="741">
        <f t="shared" si="3"/>
        <v>114354.99000000002</v>
      </c>
      <c r="L56" s="741">
        <f t="shared" si="3"/>
        <v>113983.01000000001</v>
      </c>
      <c r="M56" s="741">
        <f t="shared" si="3"/>
        <v>121760.97999999998</v>
      </c>
      <c r="N56" s="741">
        <f t="shared" si="3"/>
        <v>110928.01</v>
      </c>
      <c r="O56" s="741">
        <f t="shared" si="3"/>
        <v>1308285.0200000003</v>
      </c>
    </row>
  </sheetData>
  <phoneticPr fontId="0" type="noConversion"/>
  <printOptions horizontalCentered="1"/>
  <pageMargins left="0.25" right="0.25" top="0.75" bottom="0.5" header="0.5" footer="0.25"/>
  <pageSetup scale="67" orientation="landscape" r:id="rId1"/>
  <headerFooter alignWithMargins="0">
    <oddFooter>&amp;RPage &amp;P
&amp;D</oddFooter>
  </headerFooter>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ignoredErrors>
    <ignoredError sqref="O25" formula="1"/>
  </ignoredErrors>
  <legacyDrawing r:id="rId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9"/>
  <sheetViews>
    <sheetView workbookViewId="0">
      <selection activeCell="D12" sqref="D12"/>
    </sheetView>
  </sheetViews>
  <sheetFormatPr defaultRowHeight="13.2"/>
  <cols>
    <col min="1" max="1" width="33.5546875" customWidth="1"/>
    <col min="2" max="2" width="15.33203125" bestFit="1" customWidth="1"/>
    <col min="3" max="3" width="12.33203125" bestFit="1" customWidth="1"/>
    <col min="4" max="4" width="2.6640625" customWidth="1"/>
  </cols>
  <sheetData>
    <row r="1" spans="1:8" ht="17.399999999999999">
      <c r="A1" s="646" t="s">
        <v>479</v>
      </c>
      <c r="B1" s="646"/>
      <c r="C1" s="646"/>
      <c r="D1" s="646"/>
    </row>
    <row r="2" spans="1:8" ht="7.95" customHeight="1"/>
    <row r="3" spans="1:8">
      <c r="A3" s="1134" t="s">
        <v>480</v>
      </c>
      <c r="B3" s="1135"/>
      <c r="C3" s="659">
        <f>'7a-ADA Services Evaluation'!S17</f>
        <v>528278.8600000001</v>
      </c>
      <c r="E3" s="660" t="s">
        <v>481</v>
      </c>
      <c r="F3" s="660"/>
      <c r="G3" s="660"/>
      <c r="H3" s="660"/>
    </row>
    <row r="4" spans="1:8">
      <c r="A4" s="2"/>
      <c r="B4" s="656"/>
    </row>
    <row r="5" spans="1:8">
      <c r="A5" s="657" t="s">
        <v>15</v>
      </c>
      <c r="B5" s="657" t="s">
        <v>34</v>
      </c>
      <c r="C5" s="657" t="s">
        <v>42</v>
      </c>
    </row>
    <row r="6" spans="1:8">
      <c r="A6" s="657" t="s">
        <v>482</v>
      </c>
      <c r="B6" s="658">
        <f>'OpStatsTotals(DR)'!S108-'OpStatsTotals(DR)'!S104</f>
        <v>39465.205999999998</v>
      </c>
      <c r="C6" s="658">
        <f>'OpStatsTotals(DR)'!S91</f>
        <v>394757</v>
      </c>
    </row>
    <row r="7" spans="1:8">
      <c r="A7" s="657" t="s">
        <v>483</v>
      </c>
      <c r="B7" s="658">
        <f>'OpStatsTotals(DR)'!S104</f>
        <v>23102</v>
      </c>
      <c r="C7" s="658">
        <f>'OpStatsTotals(DR)'!S92</f>
        <v>234702</v>
      </c>
    </row>
    <row r="8" spans="1:8">
      <c r="A8" s="657" t="s">
        <v>484</v>
      </c>
      <c r="B8" s="658">
        <f>'OpStatsTotals(MBTrailblazers)'!S151</f>
        <v>17931</v>
      </c>
      <c r="C8" s="658">
        <f>'OpStatsTotals(MBTrailblazers)'!S135</f>
        <v>87377</v>
      </c>
    </row>
    <row r="9" spans="1:8">
      <c r="A9" s="657" t="s">
        <v>20</v>
      </c>
      <c r="B9" s="654">
        <f>SUM(B6:B8)</f>
        <v>80498.206000000006</v>
      </c>
      <c r="C9" s="654">
        <f>SUM(C6:C8)</f>
        <v>716836</v>
      </c>
    </row>
  </sheetData>
  <mergeCells count="1">
    <mergeCell ref="A3:B3"/>
  </mergeCells>
  <pageMargins left="0.7" right="0.7" top="0.75" bottom="0.75" header="0.3" footer="0.3"/>
  <pageSetup orientation="portrait" r:id="rId1"/>
  <customProperties>
    <customPr name="DrillPoint.Mode" r:id="rId2"/>
    <customPr name="DrillPoint.SaveEntireSheet" r:id="rId3"/>
    <customPr name="DrillPoint.Subsheet" r:id="rId4"/>
    <customPr name="DrillPoint.WorksheetID" r:id="rId5"/>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BP56"/>
  <sheetViews>
    <sheetView zoomScale="90" zoomScaleNormal="90" zoomScaleSheetLayoutView="100" workbookViewId="0">
      <pane xSplit="4" ySplit="12" topLeftCell="Y13" activePane="bottomRight" state="frozen"/>
      <selection activeCell="B43" sqref="B43:B53"/>
      <selection pane="topRight" activeCell="B43" sqref="B43:B53"/>
      <selection pane="bottomLeft" activeCell="B43" sqref="B43:B53"/>
      <selection pane="bottomRight" activeCell="Z7" sqref="Z7"/>
    </sheetView>
  </sheetViews>
  <sheetFormatPr defaultColWidth="9.109375" defaultRowHeight="15.6"/>
  <cols>
    <col min="1" max="1" width="2" style="1" customWidth="1"/>
    <col min="2" max="2" width="58.88671875" style="1" bestFit="1" customWidth="1"/>
    <col min="3" max="3" width="36.88671875" style="1" customWidth="1"/>
    <col min="4" max="4" width="2.33203125" style="526" customWidth="1"/>
    <col min="5" max="5" width="15.44140625" style="1" hidden="1" customWidth="1"/>
    <col min="6" max="6" width="13.33203125" style="1" hidden="1" customWidth="1"/>
    <col min="7" max="7" width="15.44140625" style="1" hidden="1" customWidth="1"/>
    <col min="8" max="8" width="2" style="526" hidden="1" customWidth="1"/>
    <col min="9" max="9" width="15.44140625" style="1" hidden="1" customWidth="1"/>
    <col min="10" max="10" width="13.33203125" style="1" hidden="1" customWidth="1"/>
    <col min="11" max="11" width="15.44140625" style="1" hidden="1" customWidth="1"/>
    <col min="12" max="12" width="2" style="526" hidden="1" customWidth="1"/>
    <col min="13" max="13" width="14.88671875" style="1" hidden="1" customWidth="1"/>
    <col min="14" max="14" width="13.44140625" style="1" hidden="1" customWidth="1"/>
    <col min="15" max="15" width="14.88671875" style="1" hidden="1" customWidth="1"/>
    <col min="16" max="16" width="1.88671875" style="526" hidden="1" customWidth="1"/>
    <col min="17" max="17" width="14.88671875" style="1" hidden="1" customWidth="1"/>
    <col min="18" max="18" width="13.44140625" style="1" hidden="1" customWidth="1"/>
    <col min="19" max="19" width="14.88671875" style="1" hidden="1" customWidth="1"/>
    <col min="20" max="20" width="2" style="526" hidden="1" customWidth="1"/>
    <col min="21" max="21" width="14.88671875" style="1" hidden="1" customWidth="1"/>
    <col min="22" max="22" width="13.44140625" style="1" hidden="1" customWidth="1"/>
    <col min="23" max="23" width="14.88671875" style="1" hidden="1" customWidth="1"/>
    <col min="24" max="24" width="2" style="526" hidden="1" customWidth="1"/>
    <col min="25" max="25" width="14.88671875" style="1" customWidth="1"/>
    <col min="26" max="26" width="13.44140625" style="1" customWidth="1"/>
    <col min="27" max="27" width="14.88671875" style="1" customWidth="1"/>
    <col min="28" max="28" width="2" style="526" customWidth="1"/>
    <col min="29" max="29" width="14.88671875" style="1" hidden="1" customWidth="1"/>
    <col min="30" max="30" width="13.44140625" style="1" hidden="1" customWidth="1"/>
    <col min="31" max="31" width="14.88671875" style="1" hidden="1" customWidth="1"/>
    <col min="32" max="32" width="2" style="526" hidden="1" customWidth="1"/>
    <col min="33" max="33" width="14.88671875" style="1" hidden="1" customWidth="1"/>
    <col min="34" max="34" width="13.44140625" style="1" hidden="1" customWidth="1"/>
    <col min="35" max="35" width="14.88671875" style="1" hidden="1" customWidth="1"/>
    <col min="36" max="36" width="2" style="526" hidden="1" customWidth="1"/>
    <col min="37" max="37" width="14.88671875" style="1" hidden="1" customWidth="1"/>
    <col min="38" max="38" width="13.44140625" style="1" hidden="1" customWidth="1"/>
    <col min="39" max="39" width="14.88671875" style="1" hidden="1" customWidth="1"/>
    <col min="40" max="40" width="1.5546875" style="526" hidden="1" customWidth="1"/>
    <col min="41" max="41" width="14.88671875" style="1" hidden="1" customWidth="1"/>
    <col min="42" max="42" width="13.44140625" style="1" hidden="1" customWidth="1"/>
    <col min="43" max="43" width="14.88671875" style="1" hidden="1" customWidth="1"/>
    <col min="44" max="44" width="1.5546875" style="526" hidden="1" customWidth="1"/>
    <col min="45" max="45" width="14.88671875" style="1" hidden="1" customWidth="1"/>
    <col min="46" max="46" width="13.44140625" style="1" hidden="1" customWidth="1"/>
    <col min="47" max="47" width="14.88671875" style="1" hidden="1" customWidth="1"/>
    <col min="48" max="48" width="1.6640625" style="526" hidden="1" customWidth="1"/>
    <col min="49" max="49" width="14.88671875" style="1" hidden="1" customWidth="1"/>
    <col min="50" max="50" width="13.44140625" style="1" hidden="1" customWidth="1"/>
    <col min="51" max="51" width="14.88671875" style="1" hidden="1" customWidth="1"/>
    <col min="52" max="52" width="1.5546875" style="526" hidden="1" customWidth="1"/>
    <col min="53" max="53" width="16.6640625" style="1" bestFit="1" customWidth="1"/>
    <col min="54" max="54" width="14.5546875" style="1" bestFit="1" customWidth="1"/>
    <col min="55" max="55" width="16.6640625" style="1" bestFit="1" customWidth="1"/>
    <col min="56" max="56" width="2.5546875" style="527" customWidth="1"/>
    <col min="57" max="57" width="10" style="528" bestFit="1" customWidth="1"/>
    <col min="58" max="58" width="1.88671875" style="526" customWidth="1"/>
    <col min="59" max="59" width="16.6640625" style="1" bestFit="1" customWidth="1"/>
    <col min="60" max="60" width="14.5546875" style="1" bestFit="1" customWidth="1"/>
    <col min="61" max="61" width="16.6640625" style="1" bestFit="1" customWidth="1"/>
    <col min="62" max="62" width="1.88671875" style="526" customWidth="1"/>
    <col min="63" max="63" width="17.5546875" style="1" bestFit="1" customWidth="1"/>
    <col min="64" max="64" width="14.5546875" style="1" bestFit="1" customWidth="1"/>
    <col min="65" max="65" width="17.5546875" style="1" bestFit="1" customWidth="1"/>
    <col min="66" max="68" width="9.109375" style="526" customWidth="1"/>
    <col min="69" max="16384" width="9.109375" style="1"/>
  </cols>
  <sheetData>
    <row r="1" spans="2:68" hidden="1"/>
    <row r="2" spans="2:68" hidden="1"/>
    <row r="3" spans="2:68" hidden="1"/>
    <row r="4" spans="2:68" hidden="1"/>
    <row r="5" spans="2:68" ht="21" customHeight="1">
      <c r="B5" s="529" t="s">
        <v>19</v>
      </c>
      <c r="C5" s="530" t="str">
        <f>Trips!B3</f>
        <v>FY 2020</v>
      </c>
      <c r="F5" s="531"/>
      <c r="G5" s="531"/>
      <c r="J5" s="531"/>
      <c r="K5" s="531"/>
      <c r="N5" s="531"/>
      <c r="O5" s="531"/>
      <c r="R5" s="531"/>
      <c r="S5" s="531"/>
      <c r="V5" s="531"/>
      <c r="W5" s="531"/>
      <c r="Z5" s="531"/>
      <c r="AA5" s="531"/>
      <c r="AD5" s="531"/>
      <c r="AE5" s="531"/>
      <c r="AH5" s="531"/>
      <c r="AI5" s="531"/>
      <c r="AL5" s="531"/>
      <c r="AM5" s="531"/>
      <c r="AP5" s="531"/>
      <c r="AQ5" s="531"/>
      <c r="AT5" s="531"/>
      <c r="AU5" s="531"/>
      <c r="AX5" s="531"/>
      <c r="AY5" s="531"/>
    </row>
    <row r="6" spans="2:68" ht="21" customHeight="1">
      <c r="B6" s="531" t="s">
        <v>86</v>
      </c>
      <c r="C6" s="532" t="s">
        <v>154</v>
      </c>
      <c r="F6" s="531"/>
      <c r="G6" s="531"/>
      <c r="J6" s="531"/>
      <c r="K6" s="531"/>
      <c r="N6" s="531"/>
      <c r="O6" s="531"/>
      <c r="R6" s="531"/>
      <c r="S6" s="531"/>
      <c r="V6" s="531"/>
      <c r="W6" s="531"/>
      <c r="Z6" s="531"/>
      <c r="AA6" s="531"/>
      <c r="AC6" s="575"/>
      <c r="AD6" s="575"/>
      <c r="AE6" s="575"/>
      <c r="AH6" s="531"/>
      <c r="AL6" s="531"/>
      <c r="AM6" s="531"/>
      <c r="AP6" s="531"/>
      <c r="AQ6" s="531"/>
      <c r="AT6" s="531"/>
      <c r="AU6" s="531"/>
      <c r="AX6" s="531"/>
      <c r="AY6" s="531"/>
    </row>
    <row r="7" spans="2:68" ht="7.5" customHeight="1">
      <c r="F7" s="531"/>
      <c r="G7" s="531"/>
    </row>
    <row r="8" spans="2:68" ht="25.2" customHeight="1">
      <c r="B8" s="576" t="s">
        <v>242</v>
      </c>
      <c r="C8" s="525" t="s">
        <v>298</v>
      </c>
      <c r="F8" s="531"/>
      <c r="G8" s="531"/>
      <c r="H8" s="1"/>
      <c r="L8" s="1"/>
      <c r="P8" s="1"/>
      <c r="Q8" s="526"/>
      <c r="S8" s="526"/>
      <c r="U8" s="526"/>
      <c r="V8" s="526"/>
      <c r="X8" s="1"/>
      <c r="AB8" s="1"/>
      <c r="AF8" s="1"/>
      <c r="AJ8" s="1"/>
      <c r="AN8" s="1"/>
      <c r="AR8" s="1"/>
      <c r="AV8" s="1"/>
      <c r="AZ8" s="1"/>
      <c r="BA8" s="575"/>
      <c r="BB8" s="575"/>
      <c r="BC8" s="575"/>
      <c r="BD8" s="1"/>
      <c r="BF8" s="1"/>
      <c r="BG8" s="575"/>
      <c r="BH8" s="575"/>
      <c r="BI8" s="575"/>
      <c r="BJ8" s="1"/>
      <c r="BK8" s="575"/>
      <c r="BL8" s="575"/>
      <c r="BM8" s="575"/>
      <c r="BN8" s="1"/>
      <c r="BO8" s="1"/>
      <c r="BP8" s="1"/>
    </row>
    <row r="9" spans="2:68" ht="7.5" customHeight="1">
      <c r="B9" s="533"/>
      <c r="C9" s="533"/>
    </row>
    <row r="10" spans="2:68">
      <c r="B10" s="534"/>
      <c r="C10" s="534"/>
      <c r="D10" s="535"/>
      <c r="E10" s="983" t="s">
        <v>8</v>
      </c>
      <c r="F10" s="984"/>
      <c r="G10" s="984"/>
      <c r="H10" s="535"/>
      <c r="I10" s="983" t="s">
        <v>78</v>
      </c>
      <c r="J10" s="984"/>
      <c r="K10" s="984"/>
      <c r="L10" s="535"/>
      <c r="M10" s="983" t="s">
        <v>79</v>
      </c>
      <c r="N10" s="984"/>
      <c r="O10" s="984"/>
      <c r="P10" s="535"/>
      <c r="Q10" s="983" t="s">
        <v>80</v>
      </c>
      <c r="R10" s="984"/>
      <c r="S10" s="984"/>
      <c r="T10" s="535"/>
      <c r="U10" s="983" t="s">
        <v>81</v>
      </c>
      <c r="V10" s="984"/>
      <c r="W10" s="984"/>
      <c r="X10" s="535"/>
      <c r="Y10" s="983" t="s">
        <v>82</v>
      </c>
      <c r="Z10" s="984"/>
      <c r="AA10" s="984"/>
      <c r="AB10" s="535"/>
      <c r="AC10" s="983" t="s">
        <v>83</v>
      </c>
      <c r="AD10" s="984"/>
      <c r="AE10" s="984"/>
      <c r="AF10" s="535"/>
      <c r="AG10" s="983" t="s">
        <v>84</v>
      </c>
      <c r="AH10" s="984"/>
      <c r="AI10" s="984"/>
      <c r="AJ10" s="535"/>
      <c r="AK10" s="983" t="s">
        <v>85</v>
      </c>
      <c r="AL10" s="984"/>
      <c r="AM10" s="984"/>
      <c r="AN10" s="535"/>
      <c r="AO10" s="983" t="s">
        <v>4</v>
      </c>
      <c r="AP10" s="984"/>
      <c r="AQ10" s="984"/>
      <c r="AR10" s="535"/>
      <c r="AS10" s="983" t="s">
        <v>5</v>
      </c>
      <c r="AT10" s="984"/>
      <c r="AU10" s="984"/>
      <c r="AV10" s="535"/>
      <c r="AW10" s="983" t="s">
        <v>6</v>
      </c>
      <c r="AX10" s="984"/>
      <c r="AY10" s="984"/>
      <c r="AZ10" s="535"/>
      <c r="BA10" s="983" t="s">
        <v>116</v>
      </c>
      <c r="BB10" s="984"/>
      <c r="BC10" s="984"/>
      <c r="BD10" s="536"/>
      <c r="BE10" s="985" t="s">
        <v>239</v>
      </c>
      <c r="BG10" s="979" t="e">
        <f>Trips!#REF!</f>
        <v>#REF!</v>
      </c>
      <c r="BH10" s="980"/>
      <c r="BI10" s="980"/>
      <c r="BK10" s="981" t="e">
        <f>Trips!#REF!</f>
        <v>#REF!</v>
      </c>
      <c r="BL10" s="982"/>
      <c r="BM10" s="982"/>
    </row>
    <row r="11" spans="2:68">
      <c r="B11" s="537" t="s">
        <v>117</v>
      </c>
      <c r="C11" s="538" t="s">
        <v>118</v>
      </c>
      <c r="D11" s="539"/>
      <c r="E11" s="540" t="s">
        <v>20</v>
      </c>
      <c r="F11" s="540" t="s">
        <v>156</v>
      </c>
      <c r="G11" s="540" t="s">
        <v>139</v>
      </c>
      <c r="H11" s="539"/>
      <c r="I11" s="540" t="s">
        <v>20</v>
      </c>
      <c r="J11" s="540" t="s">
        <v>156</v>
      </c>
      <c r="K11" s="540" t="s">
        <v>139</v>
      </c>
      <c r="L11" s="539"/>
      <c r="M11" s="540" t="s">
        <v>20</v>
      </c>
      <c r="N11" s="540" t="s">
        <v>156</v>
      </c>
      <c r="O11" s="540" t="s">
        <v>139</v>
      </c>
      <c r="P11" s="539"/>
      <c r="Q11" s="540" t="s">
        <v>20</v>
      </c>
      <c r="R11" s="540" t="s">
        <v>156</v>
      </c>
      <c r="S11" s="540" t="s">
        <v>139</v>
      </c>
      <c r="T11" s="539"/>
      <c r="U11" s="540" t="s">
        <v>20</v>
      </c>
      <c r="V11" s="540" t="s">
        <v>156</v>
      </c>
      <c r="W11" s="540" t="s">
        <v>139</v>
      </c>
      <c r="X11" s="539"/>
      <c r="Y11" s="540" t="s">
        <v>20</v>
      </c>
      <c r="Z11" s="540" t="s">
        <v>156</v>
      </c>
      <c r="AA11" s="540" t="s">
        <v>139</v>
      </c>
      <c r="AB11" s="539"/>
      <c r="AC11" s="540" t="s">
        <v>20</v>
      </c>
      <c r="AD11" s="540" t="s">
        <v>156</v>
      </c>
      <c r="AE11" s="540" t="s">
        <v>139</v>
      </c>
      <c r="AF11" s="539"/>
      <c r="AG11" s="540" t="s">
        <v>20</v>
      </c>
      <c r="AH11" s="540" t="s">
        <v>156</v>
      </c>
      <c r="AI11" s="540" t="s">
        <v>139</v>
      </c>
      <c r="AJ11" s="539"/>
      <c r="AK11" s="540" t="s">
        <v>20</v>
      </c>
      <c r="AL11" s="540" t="s">
        <v>156</v>
      </c>
      <c r="AM11" s="540" t="s">
        <v>139</v>
      </c>
      <c r="AN11" s="539"/>
      <c r="AO11" s="540" t="s">
        <v>20</v>
      </c>
      <c r="AP11" s="540" t="s">
        <v>156</v>
      </c>
      <c r="AQ11" s="540" t="s">
        <v>139</v>
      </c>
      <c r="AR11" s="539"/>
      <c r="AS11" s="540" t="s">
        <v>20</v>
      </c>
      <c r="AT11" s="540" t="s">
        <v>156</v>
      </c>
      <c r="AU11" s="540" t="s">
        <v>139</v>
      </c>
      <c r="AV11" s="539"/>
      <c r="AW11" s="540" t="s">
        <v>20</v>
      </c>
      <c r="AX11" s="540" t="s">
        <v>156</v>
      </c>
      <c r="AY11" s="540" t="s">
        <v>139</v>
      </c>
      <c r="AZ11" s="539"/>
      <c r="BA11" s="540" t="s">
        <v>20</v>
      </c>
      <c r="BB11" s="540" t="s">
        <v>156</v>
      </c>
      <c r="BC11" s="540" t="s">
        <v>139</v>
      </c>
      <c r="BD11" s="536"/>
      <c r="BE11" s="986"/>
      <c r="BG11" s="540" t="s">
        <v>20</v>
      </c>
      <c r="BH11" s="540" t="s">
        <v>156</v>
      </c>
      <c r="BI11" s="540" t="s">
        <v>139</v>
      </c>
      <c r="BK11" s="540" t="s">
        <v>20</v>
      </c>
      <c r="BL11" s="540" t="s">
        <v>156</v>
      </c>
      <c r="BM11" s="540" t="s">
        <v>139</v>
      </c>
    </row>
    <row r="12" spans="2:68">
      <c r="B12" s="541" t="s">
        <v>119</v>
      </c>
      <c r="C12" s="541"/>
      <c r="D12" s="542"/>
      <c r="E12" s="543" t="s">
        <v>155</v>
      </c>
      <c r="F12" s="543" t="s">
        <v>140</v>
      </c>
      <c r="G12" s="543" t="s">
        <v>157</v>
      </c>
      <c r="H12" s="542"/>
      <c r="I12" s="543" t="s">
        <v>155</v>
      </c>
      <c r="J12" s="543" t="s">
        <v>140</v>
      </c>
      <c r="K12" s="543" t="s">
        <v>157</v>
      </c>
      <c r="L12" s="542"/>
      <c r="M12" s="543" t="s">
        <v>155</v>
      </c>
      <c r="N12" s="543" t="s">
        <v>140</v>
      </c>
      <c r="O12" s="543" t="s">
        <v>157</v>
      </c>
      <c r="P12" s="542"/>
      <c r="Q12" s="543" t="s">
        <v>155</v>
      </c>
      <c r="R12" s="543" t="s">
        <v>140</v>
      </c>
      <c r="S12" s="543" t="s">
        <v>157</v>
      </c>
      <c r="T12" s="542"/>
      <c r="U12" s="543" t="s">
        <v>155</v>
      </c>
      <c r="V12" s="543" t="s">
        <v>140</v>
      </c>
      <c r="W12" s="543" t="s">
        <v>157</v>
      </c>
      <c r="X12" s="542"/>
      <c r="Y12" s="543" t="s">
        <v>155</v>
      </c>
      <c r="Z12" s="543" t="s">
        <v>140</v>
      </c>
      <c r="AA12" s="543" t="s">
        <v>157</v>
      </c>
      <c r="AB12" s="542"/>
      <c r="AC12" s="543" t="s">
        <v>155</v>
      </c>
      <c r="AD12" s="543" t="s">
        <v>140</v>
      </c>
      <c r="AE12" s="543" t="s">
        <v>157</v>
      </c>
      <c r="AF12" s="542"/>
      <c r="AG12" s="543" t="s">
        <v>155</v>
      </c>
      <c r="AH12" s="543" t="s">
        <v>140</v>
      </c>
      <c r="AI12" s="543" t="s">
        <v>157</v>
      </c>
      <c r="AJ12" s="542"/>
      <c r="AK12" s="543" t="s">
        <v>155</v>
      </c>
      <c r="AL12" s="543" t="s">
        <v>140</v>
      </c>
      <c r="AM12" s="543" t="s">
        <v>157</v>
      </c>
      <c r="AN12" s="542"/>
      <c r="AO12" s="543" t="s">
        <v>155</v>
      </c>
      <c r="AP12" s="543" t="s">
        <v>140</v>
      </c>
      <c r="AQ12" s="543" t="s">
        <v>157</v>
      </c>
      <c r="AR12" s="542"/>
      <c r="AS12" s="543" t="s">
        <v>155</v>
      </c>
      <c r="AT12" s="543" t="s">
        <v>140</v>
      </c>
      <c r="AU12" s="543" t="s">
        <v>157</v>
      </c>
      <c r="AV12" s="542"/>
      <c r="AW12" s="543" t="s">
        <v>155</v>
      </c>
      <c r="AX12" s="543" t="s">
        <v>140</v>
      </c>
      <c r="AY12" s="543" t="s">
        <v>157</v>
      </c>
      <c r="AZ12" s="542"/>
      <c r="BA12" s="543" t="s">
        <v>155</v>
      </c>
      <c r="BB12" s="543" t="s">
        <v>140</v>
      </c>
      <c r="BC12" s="543" t="s">
        <v>157</v>
      </c>
      <c r="BD12" s="536"/>
      <c r="BE12" s="987"/>
      <c r="BG12" s="543" t="s">
        <v>155</v>
      </c>
      <c r="BH12" s="543" t="s">
        <v>140</v>
      </c>
      <c r="BI12" s="543" t="s">
        <v>157</v>
      </c>
      <c r="BK12" s="543" t="s">
        <v>155</v>
      </c>
      <c r="BL12" s="543" t="s">
        <v>140</v>
      </c>
      <c r="BM12" s="543" t="s">
        <v>157</v>
      </c>
    </row>
    <row r="13" spans="2:68" ht="20.100000000000001" customHeight="1">
      <c r="B13" s="544" t="s">
        <v>127</v>
      </c>
      <c r="C13" s="544" t="s">
        <v>128</v>
      </c>
      <c r="D13" s="545"/>
      <c r="E13" s="577">
        <f>ROUND(Miles!C5*1.3,2)</f>
        <v>3217.02</v>
      </c>
      <c r="F13" s="578"/>
      <c r="G13" s="579">
        <f t="shared" ref="G13:G19" si="0">E13+F13</f>
        <v>3217.02</v>
      </c>
      <c r="H13" s="545"/>
      <c r="I13" s="577">
        <f>ROUND(Miles!D5*1.3,2)</f>
        <v>2783.01</v>
      </c>
      <c r="J13" s="578"/>
      <c r="K13" s="579">
        <f>I13+J13</f>
        <v>2783.01</v>
      </c>
      <c r="L13" s="545"/>
      <c r="M13" s="577">
        <f>ROUND(Miles!E5*1.3,2)</f>
        <v>3299.7</v>
      </c>
      <c r="N13" s="578"/>
      <c r="O13" s="579">
        <f>M13+N13</f>
        <v>3299.7</v>
      </c>
      <c r="P13" s="545"/>
      <c r="Q13" s="577">
        <f>ROUND(Miles!F5*1.3,2)</f>
        <v>3229.63</v>
      </c>
      <c r="R13" s="578"/>
      <c r="S13" s="579">
        <f>Q13+R13</f>
        <v>3229.63</v>
      </c>
      <c r="T13" s="545"/>
      <c r="U13" s="577">
        <f>ROUND(Miles!G5*1.3,2)</f>
        <v>1961.87</v>
      </c>
      <c r="V13" s="578"/>
      <c r="W13" s="579">
        <f>U13+V13</f>
        <v>1961.87</v>
      </c>
      <c r="X13" s="545"/>
      <c r="Y13" s="577">
        <f>ROUND(Miles!H5*1.3,2)</f>
        <v>1615.74</v>
      </c>
      <c r="Z13" s="578"/>
      <c r="AA13" s="579">
        <f>Y13+Z13</f>
        <v>1615.74</v>
      </c>
      <c r="AB13" s="545"/>
      <c r="AC13" s="577">
        <f>ROUND(Miles!I5*1.3,2)</f>
        <v>0</v>
      </c>
      <c r="AD13" s="578"/>
      <c r="AE13" s="579">
        <f>AC13+AD13</f>
        <v>0</v>
      </c>
      <c r="AF13" s="545"/>
      <c r="AG13" s="577">
        <f>ROUND(Miles!J5*1.3,2)</f>
        <v>0</v>
      </c>
      <c r="AH13" s="578"/>
      <c r="AI13" s="579">
        <f>AG13+AH13</f>
        <v>0</v>
      </c>
      <c r="AJ13" s="545"/>
      <c r="AK13" s="577">
        <f>ROUND(Miles!K5*1.3,2)</f>
        <v>0</v>
      </c>
      <c r="AL13" s="578"/>
      <c r="AM13" s="579">
        <f>AK13+AL13</f>
        <v>0</v>
      </c>
      <c r="AN13" s="545"/>
      <c r="AO13" s="577">
        <f>ROUND(Miles!L5*1.3,2)</f>
        <v>0</v>
      </c>
      <c r="AP13" s="578"/>
      <c r="AQ13" s="579">
        <f>AO13+AP13</f>
        <v>0</v>
      </c>
      <c r="AR13" s="545"/>
      <c r="AS13" s="577">
        <f>ROUND(Miles!M5*1.3,2)</f>
        <v>0</v>
      </c>
      <c r="AT13" s="578"/>
      <c r="AU13" s="579">
        <f>AS13+AT13</f>
        <v>0</v>
      </c>
      <c r="AV13" s="545"/>
      <c r="AW13" s="577">
        <f>ROUND(Miles!N5*1.3,2)</f>
        <v>0</v>
      </c>
      <c r="AX13" s="578"/>
      <c r="AY13" s="579">
        <f>AW13+AX13</f>
        <v>0</v>
      </c>
      <c r="AZ13" s="545"/>
      <c r="BA13" s="577">
        <f>E13+I13+M13+Q13+U13+Y13+AC13+AG13+AK13+AO13+AS13+AW13</f>
        <v>16106.97</v>
      </c>
      <c r="BB13" s="577">
        <f>F13+J13+N13+R13+V13+Z13+AD13+AH13+AL13+AP13+AT13+AX13</f>
        <v>0</v>
      </c>
      <c r="BC13" s="579">
        <f>G13+K13+O13+S13+W13+AA13+AE13+AI13+AM13+AQ13+AU13+AY13</f>
        <v>16106.97</v>
      </c>
      <c r="BE13" s="546">
        <f>IFERROR(BA13/$BA$54,0)</f>
        <v>0</v>
      </c>
      <c r="BG13" s="663">
        <v>29638.03</v>
      </c>
      <c r="BH13" s="663">
        <v>0</v>
      </c>
      <c r="BI13" s="663">
        <v>29638.03</v>
      </c>
      <c r="BK13" s="663">
        <f>BA13-BG13</f>
        <v>-13531.06</v>
      </c>
      <c r="BL13" s="663">
        <f t="shared" ref="BL13:BL43" si="1">BB13-BH13</f>
        <v>0</v>
      </c>
      <c r="BM13" s="663">
        <f t="shared" ref="BM13:BM43" si="2">BC13-BI13</f>
        <v>-13531.06</v>
      </c>
    </row>
    <row r="14" spans="2:68" ht="20.100000000000001" customHeight="1">
      <c r="B14" s="544" t="s">
        <v>129</v>
      </c>
      <c r="C14" s="544" t="s">
        <v>130</v>
      </c>
      <c r="D14" s="545"/>
      <c r="E14" s="577">
        <f>ROUND(Miles!C6*1.3,2)</f>
        <v>255.53</v>
      </c>
      <c r="F14" s="578"/>
      <c r="G14" s="579">
        <f t="shared" si="0"/>
        <v>255.53</v>
      </c>
      <c r="H14" s="545"/>
      <c r="I14" s="577">
        <f>ROUND(Miles!D6*1.3,2)</f>
        <v>265.25</v>
      </c>
      <c r="J14" s="578"/>
      <c r="K14" s="579">
        <f t="shared" ref="K14:K51" si="3">I14+J14</f>
        <v>265.25</v>
      </c>
      <c r="L14" s="545"/>
      <c r="M14" s="577">
        <f>ROUND(Miles!E6*1.3,2)</f>
        <v>294.26</v>
      </c>
      <c r="N14" s="578"/>
      <c r="O14" s="579">
        <f t="shared" ref="O14:O51" si="4">M14+N14</f>
        <v>294.26</v>
      </c>
      <c r="P14" s="545"/>
      <c r="Q14" s="577">
        <f>ROUND(Miles!F6*1.3,2)</f>
        <v>249.68</v>
      </c>
      <c r="R14" s="578"/>
      <c r="S14" s="579">
        <f t="shared" ref="S14:S51" si="5">Q14+R14</f>
        <v>249.68</v>
      </c>
      <c r="T14" s="545"/>
      <c r="U14" s="577">
        <f>ROUND(Miles!G6*1.3,2)</f>
        <v>181.68</v>
      </c>
      <c r="V14" s="578"/>
      <c r="W14" s="579">
        <f t="shared" ref="W14:W51" si="6">U14+V14</f>
        <v>181.68</v>
      </c>
      <c r="X14" s="545"/>
      <c r="Y14" s="577">
        <f>ROUND(Miles!H6*1.3,2)</f>
        <v>150.32</v>
      </c>
      <c r="Z14" s="578"/>
      <c r="AA14" s="579">
        <f t="shared" ref="AA14:AA51" si="7">Y14+Z14</f>
        <v>150.32</v>
      </c>
      <c r="AB14" s="545"/>
      <c r="AC14" s="577">
        <f>ROUND(Miles!I6*1.3,2)</f>
        <v>0</v>
      </c>
      <c r="AD14" s="578"/>
      <c r="AE14" s="579">
        <f t="shared" ref="AE14:AE51" si="8">AC14+AD14</f>
        <v>0</v>
      </c>
      <c r="AF14" s="545"/>
      <c r="AG14" s="577">
        <f>ROUND(Miles!J6*1.3,2)</f>
        <v>0</v>
      </c>
      <c r="AH14" s="578"/>
      <c r="AI14" s="579">
        <f t="shared" ref="AI14:AI51" si="9">AG14+AH14</f>
        <v>0</v>
      </c>
      <c r="AJ14" s="545"/>
      <c r="AK14" s="577">
        <f>ROUND(Miles!K6*1.3,2)</f>
        <v>0</v>
      </c>
      <c r="AL14" s="578"/>
      <c r="AM14" s="579">
        <f t="shared" ref="AM14:AM51" si="10">AK14+AL14</f>
        <v>0</v>
      </c>
      <c r="AN14" s="545"/>
      <c r="AO14" s="577">
        <f>ROUND(Miles!L6*1.3,2)</f>
        <v>0</v>
      </c>
      <c r="AP14" s="578"/>
      <c r="AQ14" s="579">
        <f t="shared" ref="AQ14:AQ51" si="11">AO14+AP14</f>
        <v>0</v>
      </c>
      <c r="AR14" s="545"/>
      <c r="AS14" s="577">
        <f>ROUND(Miles!M6*1.3,2)</f>
        <v>0</v>
      </c>
      <c r="AT14" s="578"/>
      <c r="AU14" s="579">
        <f t="shared" ref="AU14:AU51" si="12">AS14+AT14</f>
        <v>0</v>
      </c>
      <c r="AV14" s="545"/>
      <c r="AW14" s="577">
        <f>ROUND(Miles!N6*1.3,2)</f>
        <v>0</v>
      </c>
      <c r="AX14" s="578"/>
      <c r="AY14" s="579">
        <f t="shared" ref="AY14:AY51" si="13">AW14+AX14</f>
        <v>0</v>
      </c>
      <c r="AZ14" s="545"/>
      <c r="BA14" s="577">
        <f t="shared" ref="BA14:BA51" si="14">E14+I14+M14+Q14+U14+Y14+AC14+AG14+AK14+AO14+AS14+AW14</f>
        <v>1396.72</v>
      </c>
      <c r="BB14" s="577">
        <f t="shared" ref="BB14:BB51" si="15">F14+J14+N14+R14+V14+Z14+AD14+AH14+AL14+AP14+AT14+AX14</f>
        <v>0</v>
      </c>
      <c r="BC14" s="579">
        <f t="shared" ref="BC14:BC51" si="16">G14+K14+O14+S14+W14+AA14+AE14+AI14+AM14+AQ14+AU14+AY14</f>
        <v>1396.72</v>
      </c>
      <c r="BE14" s="546">
        <f t="shared" ref="BE14:BE43" si="17">IFERROR(BA14/$BA$54,0)</f>
        <v>0</v>
      </c>
      <c r="BG14" s="663">
        <v>2689.5000000000005</v>
      </c>
      <c r="BH14" s="663">
        <v>0</v>
      </c>
      <c r="BI14" s="663">
        <v>2689.5000000000005</v>
      </c>
      <c r="BK14" s="663">
        <f t="shared" ref="BK14:BK43" si="18">BA14-BG14</f>
        <v>-1292.7800000000004</v>
      </c>
      <c r="BL14" s="663">
        <f t="shared" si="1"/>
        <v>0</v>
      </c>
      <c r="BM14" s="663">
        <f t="shared" si="2"/>
        <v>-1292.7800000000004</v>
      </c>
    </row>
    <row r="15" spans="2:68" ht="20.100000000000001" hidden="1" customHeight="1">
      <c r="B15" s="544" t="s">
        <v>132</v>
      </c>
      <c r="C15" s="544" t="s">
        <v>128</v>
      </c>
      <c r="D15" s="545"/>
      <c r="E15" s="577" t="e">
        <f>ROUND(Miles!#REF!*1.3,2)</f>
        <v>#REF!</v>
      </c>
      <c r="F15" s="578"/>
      <c r="G15" s="579" t="e">
        <f t="shared" si="0"/>
        <v>#REF!</v>
      </c>
      <c r="H15" s="545"/>
      <c r="I15" s="577" t="e">
        <f>ROUND(Miles!#REF!*1.3,2)</f>
        <v>#REF!</v>
      </c>
      <c r="J15" s="578"/>
      <c r="K15" s="579" t="e">
        <f t="shared" si="3"/>
        <v>#REF!</v>
      </c>
      <c r="L15" s="545"/>
      <c r="M15" s="577" t="e">
        <f>ROUND(Miles!#REF!*1.3,2)</f>
        <v>#REF!</v>
      </c>
      <c r="N15" s="578"/>
      <c r="O15" s="579" t="e">
        <f t="shared" si="4"/>
        <v>#REF!</v>
      </c>
      <c r="P15" s="545"/>
      <c r="Q15" s="577" t="e">
        <f>ROUND(Miles!#REF!*1.3,2)</f>
        <v>#REF!</v>
      </c>
      <c r="R15" s="578"/>
      <c r="S15" s="579" t="e">
        <f t="shared" si="5"/>
        <v>#REF!</v>
      </c>
      <c r="T15" s="545"/>
      <c r="U15" s="577" t="e">
        <f>ROUND(Miles!#REF!*1.3,2)</f>
        <v>#REF!</v>
      </c>
      <c r="V15" s="578"/>
      <c r="W15" s="579" t="e">
        <f t="shared" si="6"/>
        <v>#REF!</v>
      </c>
      <c r="X15" s="545"/>
      <c r="Y15" s="577" t="e">
        <f>ROUND(Miles!#REF!*1.3,2)</f>
        <v>#REF!</v>
      </c>
      <c r="Z15" s="578"/>
      <c r="AA15" s="579" t="e">
        <f t="shared" si="7"/>
        <v>#REF!</v>
      </c>
      <c r="AB15" s="545"/>
      <c r="AC15" s="577" t="e">
        <f>ROUND(Miles!#REF!*1.3,2)</f>
        <v>#REF!</v>
      </c>
      <c r="AD15" s="578"/>
      <c r="AE15" s="579" t="e">
        <f t="shared" si="8"/>
        <v>#REF!</v>
      </c>
      <c r="AF15" s="545"/>
      <c r="AG15" s="577" t="e">
        <f>ROUND(Miles!#REF!*1.3,2)</f>
        <v>#REF!</v>
      </c>
      <c r="AH15" s="578"/>
      <c r="AI15" s="579" t="e">
        <f t="shared" si="9"/>
        <v>#REF!</v>
      </c>
      <c r="AJ15" s="545"/>
      <c r="AK15" s="577" t="e">
        <f>ROUND(Miles!#REF!*1.3,2)</f>
        <v>#REF!</v>
      </c>
      <c r="AL15" s="578"/>
      <c r="AM15" s="579" t="e">
        <f t="shared" si="10"/>
        <v>#REF!</v>
      </c>
      <c r="AN15" s="545"/>
      <c r="AO15" s="577" t="e">
        <f>ROUND(Miles!#REF!*1.3,2)</f>
        <v>#REF!</v>
      </c>
      <c r="AP15" s="578"/>
      <c r="AQ15" s="579" t="e">
        <f t="shared" si="11"/>
        <v>#REF!</v>
      </c>
      <c r="AR15" s="545"/>
      <c r="AS15" s="577" t="e">
        <f>ROUND(Miles!#REF!*1.3,2)</f>
        <v>#REF!</v>
      </c>
      <c r="AT15" s="578"/>
      <c r="AU15" s="579" t="e">
        <f t="shared" si="12"/>
        <v>#REF!</v>
      </c>
      <c r="AV15" s="545"/>
      <c r="AW15" s="577" t="e">
        <f>ROUND(Miles!#REF!*1.3,2)</f>
        <v>#REF!</v>
      </c>
      <c r="AX15" s="578"/>
      <c r="AY15" s="579" t="e">
        <f t="shared" si="13"/>
        <v>#REF!</v>
      </c>
      <c r="AZ15" s="545"/>
      <c r="BA15" s="577" t="e">
        <f t="shared" si="14"/>
        <v>#REF!</v>
      </c>
      <c r="BB15" s="577">
        <f t="shared" si="15"/>
        <v>0</v>
      </c>
      <c r="BC15" s="579" t="e">
        <f t="shared" si="16"/>
        <v>#REF!</v>
      </c>
      <c r="BE15" s="546">
        <f t="shared" si="17"/>
        <v>0</v>
      </c>
      <c r="BG15" s="663">
        <v>0</v>
      </c>
      <c r="BH15" s="663">
        <v>0</v>
      </c>
      <c r="BI15" s="663">
        <v>0</v>
      </c>
      <c r="BK15" s="663" t="e">
        <f t="shared" si="18"/>
        <v>#REF!</v>
      </c>
      <c r="BL15" s="663">
        <f t="shared" si="1"/>
        <v>0</v>
      </c>
      <c r="BM15" s="663" t="e">
        <f t="shared" si="2"/>
        <v>#REF!</v>
      </c>
    </row>
    <row r="16" spans="2:68" s="8" customFormat="1" ht="20.100000000000001" customHeight="1">
      <c r="B16" s="547" t="s">
        <v>240</v>
      </c>
      <c r="C16" s="547" t="s">
        <v>322</v>
      </c>
      <c r="D16" s="545"/>
      <c r="E16" s="577">
        <f>ROUND(Miles!C7*1.92,2)</f>
        <v>75180.63</v>
      </c>
      <c r="F16" s="577">
        <f>(Trips!D7*-2)</f>
        <v>-7044</v>
      </c>
      <c r="G16" s="577">
        <f t="shared" si="0"/>
        <v>68136.63</v>
      </c>
      <c r="H16" s="545"/>
      <c r="I16" s="577">
        <f>ROUND(Miles!D7*1.92,2)</f>
        <v>74813.05</v>
      </c>
      <c r="J16" s="577">
        <f>(Trips!K7*-2)</f>
        <v>-7154</v>
      </c>
      <c r="K16" s="577">
        <f t="shared" si="3"/>
        <v>67659.05</v>
      </c>
      <c r="L16" s="545"/>
      <c r="M16" s="577">
        <f>ROUND(Miles!E7*1.92,2)</f>
        <v>69527.960000000006</v>
      </c>
      <c r="N16" s="577">
        <f>(Trips!R7*-2)</f>
        <v>-6758</v>
      </c>
      <c r="O16" s="577">
        <f t="shared" si="4"/>
        <v>62769.960000000006</v>
      </c>
      <c r="P16" s="545"/>
      <c r="Q16" s="577">
        <f>ROUND(Miles!F7*1.92,2)</f>
        <v>76199.08</v>
      </c>
      <c r="R16" s="577">
        <f>Trips!Y7*-2</f>
        <v>-7518</v>
      </c>
      <c r="S16" s="577">
        <f t="shared" si="5"/>
        <v>68681.08</v>
      </c>
      <c r="T16" s="545"/>
      <c r="U16" s="577">
        <f>ROUND(Miles!G7*1.92,2)</f>
        <v>64089.85</v>
      </c>
      <c r="V16" s="678">
        <f>Trips!AF7*-2+594</f>
        <v>-5620</v>
      </c>
      <c r="W16" s="577">
        <f t="shared" si="6"/>
        <v>58469.85</v>
      </c>
      <c r="X16" s="545"/>
      <c r="Y16" s="577">
        <f>ROUND(Miles!H7*1.92,2)</f>
        <v>63468.77</v>
      </c>
      <c r="Z16" s="577">
        <f>(Trips!AM7*-2)</f>
        <v>-6418</v>
      </c>
      <c r="AA16" s="577">
        <f t="shared" si="7"/>
        <v>57050.77</v>
      </c>
      <c r="AB16" s="545"/>
      <c r="AC16" s="577">
        <f>ROUND(Miles!I7*1.92,2)</f>
        <v>0</v>
      </c>
      <c r="AD16" s="577">
        <f>(Trips!AT7*-2)</f>
        <v>0</v>
      </c>
      <c r="AE16" s="577">
        <f t="shared" si="8"/>
        <v>0</v>
      </c>
      <c r="AF16" s="545"/>
      <c r="AG16" s="577">
        <f>ROUND(Miles!J7*1.92,2)</f>
        <v>0</v>
      </c>
      <c r="AH16" s="577">
        <f>(Trips!BA7*-2)</f>
        <v>0</v>
      </c>
      <c r="AI16" s="577">
        <f t="shared" si="9"/>
        <v>0</v>
      </c>
      <c r="AJ16" s="545"/>
      <c r="AK16" s="577">
        <f>ROUND(Miles!K7*1.92,2)</f>
        <v>0</v>
      </c>
      <c r="AL16" s="577">
        <f>(Trips!BH7*-2)</f>
        <v>0</v>
      </c>
      <c r="AM16" s="577">
        <f t="shared" si="10"/>
        <v>0</v>
      </c>
      <c r="AN16" s="545"/>
      <c r="AO16" s="577">
        <f>ROUND(Miles!L7*1.92,2)</f>
        <v>0</v>
      </c>
      <c r="AP16" s="577">
        <f>(Trips!BO7*-2)</f>
        <v>0</v>
      </c>
      <c r="AQ16" s="577">
        <f t="shared" si="11"/>
        <v>0</v>
      </c>
      <c r="AR16" s="545"/>
      <c r="AS16" s="577">
        <f>ROUND(Miles!M7*1.92,2)</f>
        <v>0</v>
      </c>
      <c r="AT16" s="577">
        <f>(Trips!BV7*-2)</f>
        <v>0</v>
      </c>
      <c r="AU16" s="577">
        <f t="shared" si="12"/>
        <v>0</v>
      </c>
      <c r="AV16" s="545"/>
      <c r="AW16" s="577">
        <f>ROUND(Miles!N7*1.92,2)</f>
        <v>0</v>
      </c>
      <c r="AX16" s="577">
        <f>(Trips!CC7*-2)</f>
        <v>0</v>
      </c>
      <c r="AY16" s="577">
        <f t="shared" si="13"/>
        <v>0</v>
      </c>
      <c r="AZ16" s="545"/>
      <c r="BA16" s="577">
        <f t="shared" si="14"/>
        <v>423279.34</v>
      </c>
      <c r="BB16" s="577">
        <f t="shared" si="15"/>
        <v>-40512</v>
      </c>
      <c r="BC16" s="577">
        <f t="shared" si="16"/>
        <v>382767.34</v>
      </c>
      <c r="BD16" s="527"/>
      <c r="BE16" s="546">
        <f t="shared" si="17"/>
        <v>0</v>
      </c>
      <c r="BF16" s="526"/>
      <c r="BG16" s="663">
        <v>414795.56999999995</v>
      </c>
      <c r="BH16" s="663">
        <v>-62892</v>
      </c>
      <c r="BI16" s="663">
        <v>351903.56999999995</v>
      </c>
      <c r="BJ16" s="526"/>
      <c r="BK16" s="663">
        <f t="shared" si="18"/>
        <v>8483.7700000000768</v>
      </c>
      <c r="BL16" s="663">
        <f t="shared" si="1"/>
        <v>22380</v>
      </c>
      <c r="BM16" s="663">
        <f t="shared" si="2"/>
        <v>30863.770000000077</v>
      </c>
      <c r="BN16" s="526"/>
      <c r="BO16" s="526"/>
      <c r="BP16" s="526"/>
    </row>
    <row r="17" spans="2:68" s="8" customFormat="1" ht="20.100000000000001" customHeight="1">
      <c r="B17" s="547" t="s">
        <v>240</v>
      </c>
      <c r="C17" s="547" t="s">
        <v>321</v>
      </c>
      <c r="D17" s="545"/>
      <c r="E17" s="577">
        <f>ROUND(Miles!C8*4,2)</f>
        <v>5475.24</v>
      </c>
      <c r="F17" s="577">
        <f>(Trips!D8*-2)</f>
        <v>-212</v>
      </c>
      <c r="G17" s="577">
        <f t="shared" si="0"/>
        <v>5263.24</v>
      </c>
      <c r="H17" s="545"/>
      <c r="I17" s="577">
        <f>ROUND(Miles!D8*4,2)</f>
        <v>4046.16</v>
      </c>
      <c r="J17" s="577">
        <f>(Trips!K8*-2)</f>
        <v>-168</v>
      </c>
      <c r="K17" s="577">
        <f t="shared" si="3"/>
        <v>3878.16</v>
      </c>
      <c r="L17" s="545"/>
      <c r="M17" s="577">
        <f>ROUND(Miles!E8*4,2)</f>
        <v>4700.12</v>
      </c>
      <c r="N17" s="577">
        <f>(Trips!R8*-2)</f>
        <v>-178</v>
      </c>
      <c r="O17" s="577">
        <f t="shared" si="4"/>
        <v>4522.12</v>
      </c>
      <c r="P17" s="545"/>
      <c r="Q17" s="577">
        <f>ROUND(Miles!F8*4,2)</f>
        <v>3303.92</v>
      </c>
      <c r="R17" s="577">
        <f>(Trips!Y8*-2)</f>
        <v>-134</v>
      </c>
      <c r="S17" s="577">
        <f t="shared" si="5"/>
        <v>3169.92</v>
      </c>
      <c r="T17" s="545"/>
      <c r="U17" s="577">
        <f>ROUND(Miles!G8*4,2)</f>
        <v>2880.8</v>
      </c>
      <c r="V17" s="577">
        <f>(Trips!AF8*-2)</f>
        <v>-126</v>
      </c>
      <c r="W17" s="577">
        <f t="shared" si="6"/>
        <v>2754.8</v>
      </c>
      <c r="X17" s="545"/>
      <c r="Y17" s="577">
        <f>ROUND(Miles!H8*4,2)</f>
        <v>1495.92</v>
      </c>
      <c r="Z17" s="577">
        <f>(Trips!AM8*-2)</f>
        <v>-66</v>
      </c>
      <c r="AA17" s="577">
        <f t="shared" si="7"/>
        <v>1429.92</v>
      </c>
      <c r="AB17" s="545"/>
      <c r="AC17" s="577">
        <f>ROUND(Miles!I8*4,2)</f>
        <v>0</v>
      </c>
      <c r="AD17" s="577">
        <f>(Trips!AT8*-2)</f>
        <v>0</v>
      </c>
      <c r="AE17" s="577">
        <f t="shared" si="8"/>
        <v>0</v>
      </c>
      <c r="AF17" s="545"/>
      <c r="AG17" s="577">
        <f>ROUND(Miles!J8*4,2)</f>
        <v>0</v>
      </c>
      <c r="AH17" s="577">
        <f>(Trips!BA8*-2)</f>
        <v>0</v>
      </c>
      <c r="AI17" s="577">
        <f t="shared" si="9"/>
        <v>0</v>
      </c>
      <c r="AJ17" s="545"/>
      <c r="AK17" s="577">
        <f>ROUND(Miles!K8*4,2)</f>
        <v>0</v>
      </c>
      <c r="AL17" s="577">
        <f>(Trips!BH8*-2)</f>
        <v>0</v>
      </c>
      <c r="AM17" s="577">
        <f t="shared" si="10"/>
        <v>0</v>
      </c>
      <c r="AN17" s="545"/>
      <c r="AO17" s="577">
        <f>ROUND(Miles!L8*4,2)</f>
        <v>0</v>
      </c>
      <c r="AP17" s="577">
        <f>(Trips!BO8*-2)</f>
        <v>0</v>
      </c>
      <c r="AQ17" s="577">
        <f t="shared" si="11"/>
        <v>0</v>
      </c>
      <c r="AR17" s="545"/>
      <c r="AS17" s="577">
        <f>ROUND(Miles!M8*4,2)</f>
        <v>0</v>
      </c>
      <c r="AT17" s="577">
        <f>(Trips!BV8*-2)</f>
        <v>0</v>
      </c>
      <c r="AU17" s="577">
        <f t="shared" si="12"/>
        <v>0</v>
      </c>
      <c r="AV17" s="545"/>
      <c r="AW17" s="577">
        <f>ROUND(Miles!N8*4,2)</f>
        <v>0</v>
      </c>
      <c r="AX17" s="577">
        <f>(Trips!CC8*-2)</f>
        <v>0</v>
      </c>
      <c r="AY17" s="577">
        <f t="shared" si="13"/>
        <v>0</v>
      </c>
      <c r="AZ17" s="545"/>
      <c r="BA17" s="577">
        <f t="shared" ref="BA17:BC19" si="19">E17+I17+M17+Q17+U17+Y17+AC17+AG17+AK17+AO17+AS17+AW17</f>
        <v>21902.160000000003</v>
      </c>
      <c r="BB17" s="577">
        <f t="shared" si="19"/>
        <v>-884</v>
      </c>
      <c r="BC17" s="577">
        <f t="shared" si="19"/>
        <v>21018.160000000003</v>
      </c>
      <c r="BD17" s="527"/>
      <c r="BE17" s="546">
        <f t="shared" si="17"/>
        <v>0</v>
      </c>
      <c r="BF17" s="526"/>
      <c r="BG17" s="663">
        <v>18174.12</v>
      </c>
      <c r="BH17" s="663">
        <v>-674</v>
      </c>
      <c r="BI17" s="663">
        <v>17500.12</v>
      </c>
      <c r="BJ17" s="526"/>
      <c r="BK17" s="663">
        <f t="shared" si="18"/>
        <v>3728.0400000000045</v>
      </c>
      <c r="BL17" s="663">
        <f t="shared" si="1"/>
        <v>-210</v>
      </c>
      <c r="BM17" s="663">
        <f t="shared" si="2"/>
        <v>3518.0400000000045</v>
      </c>
      <c r="BN17" s="526"/>
      <c r="BO17" s="526"/>
      <c r="BP17" s="526"/>
    </row>
    <row r="18" spans="2:68" s="8" customFormat="1" ht="20.100000000000001" customHeight="1">
      <c r="B18" s="547" t="s">
        <v>240</v>
      </c>
      <c r="C18" s="547" t="s">
        <v>320</v>
      </c>
      <c r="D18" s="545"/>
      <c r="E18" s="577">
        <f>ROUND(Miles!C9*4,2)</f>
        <v>5564</v>
      </c>
      <c r="F18" s="577">
        <f>(Trips!D9*-2)</f>
        <v>-218</v>
      </c>
      <c r="G18" s="577">
        <f t="shared" ref="G18" si="20">E18+F18</f>
        <v>5346</v>
      </c>
      <c r="H18" s="545"/>
      <c r="I18" s="577">
        <f>ROUND(Miles!D9*4,2)</f>
        <v>5040</v>
      </c>
      <c r="J18" s="577">
        <f>(Trips!K9*-2)</f>
        <v>-158</v>
      </c>
      <c r="K18" s="577">
        <f t="shared" ref="K18" si="21">I18+J18</f>
        <v>4882</v>
      </c>
      <c r="L18" s="545"/>
      <c r="M18" s="577">
        <f>ROUND(Miles!E9*4,2)</f>
        <v>7584</v>
      </c>
      <c r="N18" s="577">
        <f>(Trips!R9*-2)</f>
        <v>-266</v>
      </c>
      <c r="O18" s="577">
        <f t="shared" ref="O18" si="22">M18+N18</f>
        <v>7318</v>
      </c>
      <c r="P18" s="545"/>
      <c r="Q18" s="577">
        <f>ROUND(Miles!F9*4,2)</f>
        <v>4932</v>
      </c>
      <c r="R18" s="577">
        <f>(Trips!Y9*-2)</f>
        <v>-192</v>
      </c>
      <c r="S18" s="577">
        <f t="shared" ref="S18" si="23">Q18+R18</f>
        <v>4740</v>
      </c>
      <c r="T18" s="545"/>
      <c r="U18" s="577">
        <f>ROUND(Miles!G9*4,2)</f>
        <v>5784</v>
      </c>
      <c r="V18" s="577">
        <f>(Trips!AF9*-2)</f>
        <v>-194</v>
      </c>
      <c r="W18" s="577">
        <f t="shared" ref="W18" si="24">U18+V18</f>
        <v>5590</v>
      </c>
      <c r="X18" s="545"/>
      <c r="Y18" s="577">
        <f>ROUND(Miles!H9*4,2)</f>
        <v>6168</v>
      </c>
      <c r="Z18" s="577">
        <f>(Trips!AM9*-2)</f>
        <v>-230</v>
      </c>
      <c r="AA18" s="577">
        <f t="shared" ref="AA18" si="25">Y18+Z18</f>
        <v>5938</v>
      </c>
      <c r="AB18" s="545"/>
      <c r="AC18" s="577">
        <f>ROUND(Miles!I9*4,2)</f>
        <v>0</v>
      </c>
      <c r="AD18" s="577">
        <f>(Trips!AT9*-2)</f>
        <v>0</v>
      </c>
      <c r="AE18" s="577">
        <f t="shared" ref="AE18" si="26">AC18+AD18</f>
        <v>0</v>
      </c>
      <c r="AF18" s="545"/>
      <c r="AG18" s="577">
        <f>ROUND(Miles!J9*4,2)</f>
        <v>0</v>
      </c>
      <c r="AH18" s="577">
        <f>(Trips!BA9*-2)</f>
        <v>0</v>
      </c>
      <c r="AI18" s="577">
        <f t="shared" ref="AI18" si="27">AG18+AH18</f>
        <v>0</v>
      </c>
      <c r="AJ18" s="545"/>
      <c r="AK18" s="577">
        <f>ROUND(Miles!K9*4,2)</f>
        <v>0</v>
      </c>
      <c r="AL18" s="577">
        <f>(Trips!BH9*-2)</f>
        <v>0</v>
      </c>
      <c r="AM18" s="577">
        <f t="shared" ref="AM18" si="28">AK18+AL18</f>
        <v>0</v>
      </c>
      <c r="AN18" s="545"/>
      <c r="AO18" s="577">
        <f>ROUND(Miles!L9*4,2)</f>
        <v>0</v>
      </c>
      <c r="AP18" s="577">
        <f>(Trips!BO9*-2)</f>
        <v>0</v>
      </c>
      <c r="AQ18" s="577">
        <f t="shared" ref="AQ18" si="29">AO18+AP18</f>
        <v>0</v>
      </c>
      <c r="AR18" s="545"/>
      <c r="AS18" s="577">
        <f>ROUND(Miles!M9*4,2)</f>
        <v>0</v>
      </c>
      <c r="AT18" s="577">
        <f>(Trips!BV9*-2)</f>
        <v>0</v>
      </c>
      <c r="AU18" s="577">
        <f t="shared" ref="AU18" si="30">AS18+AT18</f>
        <v>0</v>
      </c>
      <c r="AV18" s="545"/>
      <c r="AW18" s="577">
        <f>ROUND(Miles!N9*4,2)</f>
        <v>0</v>
      </c>
      <c r="AX18" s="577">
        <f>(Trips!CC9*-2)</f>
        <v>0</v>
      </c>
      <c r="AY18" s="577">
        <f t="shared" ref="AY18" si="31">AW18+AX18</f>
        <v>0</v>
      </c>
      <c r="AZ18" s="545"/>
      <c r="BA18" s="577">
        <f t="shared" ref="BA18" si="32">E18+I18+M18+Q18+U18+Y18+AC18+AG18+AK18+AO18+AS18+AW18</f>
        <v>35072</v>
      </c>
      <c r="BB18" s="577">
        <f t="shared" ref="BB18" si="33">F18+J18+N18+R18+V18+Z18+AD18+AH18+AL18+AP18+AT18+AX18</f>
        <v>-1258</v>
      </c>
      <c r="BC18" s="577">
        <f t="shared" ref="BC18" si="34">G18+K18+O18+S18+W18+AA18+AE18+AI18+AM18+AQ18+AU18+AY18</f>
        <v>33814</v>
      </c>
      <c r="BD18" s="527"/>
      <c r="BE18" s="546">
        <f t="shared" si="17"/>
        <v>0</v>
      </c>
      <c r="BF18" s="526"/>
      <c r="BG18" s="663">
        <v>24818.52</v>
      </c>
      <c r="BH18" s="663">
        <v>-956</v>
      </c>
      <c r="BI18" s="663">
        <v>23862.52</v>
      </c>
      <c r="BJ18" s="526"/>
      <c r="BK18" s="663">
        <f t="shared" si="18"/>
        <v>10253.48</v>
      </c>
      <c r="BL18" s="663">
        <f t="shared" si="1"/>
        <v>-302</v>
      </c>
      <c r="BM18" s="663">
        <f t="shared" si="2"/>
        <v>9951.48</v>
      </c>
      <c r="BN18" s="526"/>
      <c r="BO18" s="526"/>
      <c r="BP18" s="526"/>
    </row>
    <row r="19" spans="2:68" s="8" customFormat="1" ht="20.100000000000001" hidden="1" customHeight="1">
      <c r="B19" s="548" t="s">
        <v>257</v>
      </c>
      <c r="C19" s="547" t="s">
        <v>14</v>
      </c>
      <c r="D19" s="545"/>
      <c r="E19" s="577" t="e">
        <f>ROUND(Miles!#REF!*1.3,2)</f>
        <v>#REF!</v>
      </c>
      <c r="F19" s="578"/>
      <c r="G19" s="579" t="e">
        <f t="shared" si="0"/>
        <v>#REF!</v>
      </c>
      <c r="H19" s="545"/>
      <c r="I19" s="577" t="e">
        <f>ROUND(Miles!#REF!*1.3,2)</f>
        <v>#REF!</v>
      </c>
      <c r="J19" s="578"/>
      <c r="K19" s="579" t="e">
        <f t="shared" ref="K19" si="35">I19+J19</f>
        <v>#REF!</v>
      </c>
      <c r="L19" s="545"/>
      <c r="M19" s="577" t="e">
        <f>ROUND(Miles!#REF!*1.3,2)</f>
        <v>#REF!</v>
      </c>
      <c r="N19" s="578"/>
      <c r="O19" s="579" t="e">
        <f t="shared" ref="O19" si="36">M19+N19</f>
        <v>#REF!</v>
      </c>
      <c r="P19" s="545"/>
      <c r="Q19" s="577" t="e">
        <f>ROUND(Miles!#REF!*1.3,2)</f>
        <v>#REF!</v>
      </c>
      <c r="R19" s="578"/>
      <c r="S19" s="579" t="e">
        <f t="shared" ref="S19" si="37">Q19+R19</f>
        <v>#REF!</v>
      </c>
      <c r="T19" s="545"/>
      <c r="U19" s="577" t="e">
        <f>ROUND(Miles!#REF!*1.3,2)</f>
        <v>#REF!</v>
      </c>
      <c r="V19" s="578"/>
      <c r="W19" s="579" t="e">
        <f t="shared" ref="W19" si="38">U19+V19</f>
        <v>#REF!</v>
      </c>
      <c r="X19" s="545"/>
      <c r="Y19" s="577" t="e">
        <f>ROUND(Miles!#REF!*1.3,2)</f>
        <v>#REF!</v>
      </c>
      <c r="Z19" s="578"/>
      <c r="AA19" s="579" t="e">
        <f t="shared" ref="AA19" si="39">Y19+Z19</f>
        <v>#REF!</v>
      </c>
      <c r="AB19" s="545"/>
      <c r="AC19" s="577" t="e">
        <f>ROUND(Miles!#REF!*1.3,2)</f>
        <v>#REF!</v>
      </c>
      <c r="AD19" s="578"/>
      <c r="AE19" s="579" t="e">
        <f t="shared" ref="AE19" si="40">AC19+AD19</f>
        <v>#REF!</v>
      </c>
      <c r="AF19" s="545"/>
      <c r="AG19" s="577" t="e">
        <f>ROUND(Miles!#REF!*1.3,2)</f>
        <v>#REF!</v>
      </c>
      <c r="AH19" s="578"/>
      <c r="AI19" s="579" t="e">
        <f t="shared" ref="AI19" si="41">AG19+AH19</f>
        <v>#REF!</v>
      </c>
      <c r="AJ19" s="545"/>
      <c r="AK19" s="577" t="e">
        <f>ROUND(Miles!#REF!*1.3,2)</f>
        <v>#REF!</v>
      </c>
      <c r="AL19" s="578"/>
      <c r="AM19" s="579" t="e">
        <f t="shared" ref="AM19" si="42">AK19+AL19</f>
        <v>#REF!</v>
      </c>
      <c r="AN19" s="545"/>
      <c r="AO19" s="577" t="e">
        <f>ROUND(Miles!#REF!*1.3,2)</f>
        <v>#REF!</v>
      </c>
      <c r="AP19" s="578"/>
      <c r="AQ19" s="579" t="e">
        <f t="shared" ref="AQ19" si="43">AO19+AP19</f>
        <v>#REF!</v>
      </c>
      <c r="AR19" s="545"/>
      <c r="AS19" s="577" t="e">
        <f>ROUND(Miles!#REF!*1.3,2)</f>
        <v>#REF!</v>
      </c>
      <c r="AT19" s="578"/>
      <c r="AU19" s="579" t="e">
        <f t="shared" ref="AU19" si="44">AS19+AT19</f>
        <v>#REF!</v>
      </c>
      <c r="AV19" s="545"/>
      <c r="AW19" s="577" t="e">
        <f>ROUND(Miles!#REF!*1.3,2)</f>
        <v>#REF!</v>
      </c>
      <c r="AX19" s="578"/>
      <c r="AY19" s="579" t="e">
        <f t="shared" ref="AY19" si="45">AW19+AX19</f>
        <v>#REF!</v>
      </c>
      <c r="AZ19" s="545"/>
      <c r="BA19" s="577" t="e">
        <f t="shared" si="19"/>
        <v>#REF!</v>
      </c>
      <c r="BB19" s="577">
        <f t="shared" si="19"/>
        <v>0</v>
      </c>
      <c r="BC19" s="579" t="e">
        <f t="shared" si="19"/>
        <v>#REF!</v>
      </c>
      <c r="BD19" s="527"/>
      <c r="BE19" s="546">
        <f t="shared" si="17"/>
        <v>0</v>
      </c>
      <c r="BF19" s="526"/>
      <c r="BG19" s="663">
        <v>0</v>
      </c>
      <c r="BH19" s="663">
        <v>0</v>
      </c>
      <c r="BI19" s="663">
        <v>0</v>
      </c>
      <c r="BJ19" s="526"/>
      <c r="BK19" s="663" t="e">
        <f t="shared" si="18"/>
        <v>#REF!</v>
      </c>
      <c r="BL19" s="663">
        <f t="shared" si="1"/>
        <v>0</v>
      </c>
      <c r="BM19" s="663" t="e">
        <f t="shared" si="2"/>
        <v>#REF!</v>
      </c>
      <c r="BN19" s="526"/>
      <c r="BO19" s="526"/>
      <c r="BP19" s="526"/>
    </row>
    <row r="20" spans="2:68" ht="20.100000000000001" customHeight="1">
      <c r="B20" s="547" t="s">
        <v>120</v>
      </c>
      <c r="C20" s="547" t="s">
        <v>149</v>
      </c>
      <c r="D20" s="545"/>
      <c r="E20" s="577">
        <f>ROUND(Miles!C10*1.3,2)</f>
        <v>35867.480000000003</v>
      </c>
      <c r="F20" s="578"/>
      <c r="G20" s="579">
        <f t="shared" ref="G20:G25" si="46">E20+F20</f>
        <v>35867.480000000003</v>
      </c>
      <c r="H20" s="545"/>
      <c r="I20" s="577">
        <f>ROUND(Miles!D10*1.3,2)</f>
        <v>36064.120000000003</v>
      </c>
      <c r="J20" s="578"/>
      <c r="K20" s="579">
        <f t="shared" si="3"/>
        <v>36064.120000000003</v>
      </c>
      <c r="L20" s="545"/>
      <c r="M20" s="577">
        <f>ROUND(Miles!E10*1.3,2)</f>
        <v>34291.4</v>
      </c>
      <c r="N20" s="578"/>
      <c r="O20" s="579">
        <f t="shared" si="4"/>
        <v>34291.4</v>
      </c>
      <c r="P20" s="545"/>
      <c r="Q20" s="577">
        <f>ROUND(Miles!F10*1.3,2)</f>
        <v>38171.370000000003</v>
      </c>
      <c r="R20" s="578"/>
      <c r="S20" s="579">
        <f t="shared" si="5"/>
        <v>38171.370000000003</v>
      </c>
      <c r="T20" s="545"/>
      <c r="U20" s="577">
        <f>ROUND(Miles!G10*1.3,2)</f>
        <v>30086.99</v>
      </c>
      <c r="V20" s="578"/>
      <c r="W20" s="579">
        <f t="shared" si="6"/>
        <v>30086.99</v>
      </c>
      <c r="X20" s="545"/>
      <c r="Y20" s="577">
        <f>ROUND(Miles!H10*1.3,2)</f>
        <v>31176.03</v>
      </c>
      <c r="Z20" s="578"/>
      <c r="AA20" s="579">
        <f t="shared" si="7"/>
        <v>31176.03</v>
      </c>
      <c r="AB20" s="545"/>
      <c r="AC20" s="577">
        <f>ROUND(Miles!I10*1.3,2)</f>
        <v>0</v>
      </c>
      <c r="AD20" s="578"/>
      <c r="AE20" s="579">
        <f t="shared" si="8"/>
        <v>0</v>
      </c>
      <c r="AF20" s="545"/>
      <c r="AG20" s="577">
        <f>ROUND(Miles!J10*1.3,2)</f>
        <v>0</v>
      </c>
      <c r="AH20" s="578"/>
      <c r="AI20" s="579">
        <f t="shared" si="9"/>
        <v>0</v>
      </c>
      <c r="AJ20" s="545"/>
      <c r="AK20" s="577">
        <f>ROUND(Miles!K10*1.3,2)</f>
        <v>0</v>
      </c>
      <c r="AL20" s="578"/>
      <c r="AM20" s="579">
        <f t="shared" si="10"/>
        <v>0</v>
      </c>
      <c r="AN20" s="545"/>
      <c r="AO20" s="577">
        <f>ROUND(Miles!L10*1.3,2)</f>
        <v>0</v>
      </c>
      <c r="AP20" s="578"/>
      <c r="AQ20" s="579">
        <f t="shared" si="11"/>
        <v>0</v>
      </c>
      <c r="AR20" s="545"/>
      <c r="AS20" s="577">
        <f>ROUND(Miles!M10*1.3,2)</f>
        <v>0</v>
      </c>
      <c r="AT20" s="578"/>
      <c r="AU20" s="579">
        <f t="shared" si="12"/>
        <v>0</v>
      </c>
      <c r="AV20" s="545"/>
      <c r="AW20" s="577">
        <f>ROUND(Miles!N10*1.3,2)</f>
        <v>0</v>
      </c>
      <c r="AX20" s="578"/>
      <c r="AY20" s="579">
        <f t="shared" si="13"/>
        <v>0</v>
      </c>
      <c r="AZ20" s="545"/>
      <c r="BA20" s="577">
        <f t="shared" si="14"/>
        <v>205657.38999999998</v>
      </c>
      <c r="BB20" s="577">
        <f t="shared" si="15"/>
        <v>0</v>
      </c>
      <c r="BC20" s="579">
        <f t="shared" si="16"/>
        <v>205657.38999999998</v>
      </c>
      <c r="BE20" s="546">
        <f t="shared" si="17"/>
        <v>0</v>
      </c>
      <c r="BG20" s="663">
        <v>340051.96</v>
      </c>
      <c r="BH20" s="663">
        <v>0</v>
      </c>
      <c r="BI20" s="663">
        <v>340051.96</v>
      </c>
      <c r="BK20" s="663">
        <f t="shared" si="18"/>
        <v>-134394.57000000004</v>
      </c>
      <c r="BL20" s="663">
        <f t="shared" si="1"/>
        <v>0</v>
      </c>
      <c r="BM20" s="663">
        <f t="shared" si="2"/>
        <v>-134394.57000000004</v>
      </c>
    </row>
    <row r="21" spans="2:68" ht="20.100000000000001" customHeight="1">
      <c r="B21" s="547" t="s">
        <v>120</v>
      </c>
      <c r="C21" s="547" t="s">
        <v>150</v>
      </c>
      <c r="D21" s="545"/>
      <c r="E21" s="577">
        <f>ROUND(Miles!C11*1.3,2)</f>
        <v>19208.62</v>
      </c>
      <c r="F21" s="578"/>
      <c r="G21" s="579">
        <f t="shared" si="46"/>
        <v>19208.62</v>
      </c>
      <c r="H21" s="545"/>
      <c r="I21" s="577">
        <f>ROUND(Miles!D11*1.3,2)</f>
        <v>19485.060000000001</v>
      </c>
      <c r="J21" s="578"/>
      <c r="K21" s="579">
        <f t="shared" si="3"/>
        <v>19485.060000000001</v>
      </c>
      <c r="L21" s="545"/>
      <c r="M21" s="577">
        <f>ROUND(Miles!E11*1.3,2)</f>
        <v>16612.91</v>
      </c>
      <c r="N21" s="578"/>
      <c r="O21" s="579">
        <f t="shared" si="4"/>
        <v>16612.91</v>
      </c>
      <c r="P21" s="545"/>
      <c r="Q21" s="577">
        <f>ROUND(Miles!F11*1.3,2)</f>
        <v>19925.189999999999</v>
      </c>
      <c r="R21" s="578"/>
      <c r="S21" s="579">
        <f t="shared" si="5"/>
        <v>19925.189999999999</v>
      </c>
      <c r="T21" s="545"/>
      <c r="U21" s="577">
        <f>ROUND(Miles!G11*1.3,2)</f>
        <v>17435.310000000001</v>
      </c>
      <c r="V21" s="578"/>
      <c r="W21" s="579">
        <f t="shared" si="6"/>
        <v>17435.310000000001</v>
      </c>
      <c r="X21" s="545"/>
      <c r="Y21" s="577">
        <f>ROUND(Miles!H11*1.3,2)</f>
        <v>17895.490000000002</v>
      </c>
      <c r="Z21" s="578"/>
      <c r="AA21" s="579">
        <f t="shared" si="7"/>
        <v>17895.490000000002</v>
      </c>
      <c r="AB21" s="545"/>
      <c r="AC21" s="577">
        <f>ROUND(Miles!I11*1.3,2)</f>
        <v>0</v>
      </c>
      <c r="AD21" s="578"/>
      <c r="AE21" s="579">
        <f t="shared" si="8"/>
        <v>0</v>
      </c>
      <c r="AF21" s="545"/>
      <c r="AG21" s="577">
        <f>ROUND(Miles!J11*1.3,2)</f>
        <v>0</v>
      </c>
      <c r="AH21" s="578"/>
      <c r="AI21" s="579">
        <f t="shared" si="9"/>
        <v>0</v>
      </c>
      <c r="AJ21" s="545"/>
      <c r="AK21" s="577">
        <f>ROUND(Miles!K11*1.3,2)</f>
        <v>0</v>
      </c>
      <c r="AL21" s="578"/>
      <c r="AM21" s="579">
        <f t="shared" si="10"/>
        <v>0</v>
      </c>
      <c r="AN21" s="545"/>
      <c r="AO21" s="577">
        <f>ROUND(Miles!L11*1.3,2)</f>
        <v>0</v>
      </c>
      <c r="AP21" s="578"/>
      <c r="AQ21" s="579">
        <f t="shared" si="11"/>
        <v>0</v>
      </c>
      <c r="AR21" s="545"/>
      <c r="AS21" s="577">
        <f>ROUND(Miles!M11*1.3,2)</f>
        <v>0</v>
      </c>
      <c r="AT21" s="578"/>
      <c r="AU21" s="579">
        <f t="shared" si="12"/>
        <v>0</v>
      </c>
      <c r="AV21" s="545"/>
      <c r="AW21" s="577">
        <f>ROUND(Miles!N11*1.3,2)</f>
        <v>0</v>
      </c>
      <c r="AX21" s="578"/>
      <c r="AY21" s="579">
        <f t="shared" si="13"/>
        <v>0</v>
      </c>
      <c r="AZ21" s="545"/>
      <c r="BA21" s="577">
        <f t="shared" si="14"/>
        <v>110562.58</v>
      </c>
      <c r="BB21" s="577">
        <f t="shared" si="15"/>
        <v>0</v>
      </c>
      <c r="BC21" s="579">
        <f t="shared" si="16"/>
        <v>110562.58</v>
      </c>
      <c r="BE21" s="546">
        <f t="shared" si="17"/>
        <v>0</v>
      </c>
      <c r="BG21" s="663">
        <v>192305.09</v>
      </c>
      <c r="BH21" s="663">
        <v>0</v>
      </c>
      <c r="BI21" s="663">
        <v>192305.09</v>
      </c>
      <c r="BK21" s="663">
        <f t="shared" si="18"/>
        <v>-81742.509999999995</v>
      </c>
      <c r="BL21" s="663">
        <f t="shared" si="1"/>
        <v>0</v>
      </c>
      <c r="BM21" s="663">
        <f t="shared" si="2"/>
        <v>-81742.509999999995</v>
      </c>
    </row>
    <row r="22" spans="2:68" ht="20.100000000000001" customHeight="1">
      <c r="B22" s="547" t="s">
        <v>120</v>
      </c>
      <c r="C22" s="547" t="s">
        <v>331</v>
      </c>
      <c r="D22" s="545"/>
      <c r="E22" s="577">
        <f>ROUND(Miles!C12*1.3,2)</f>
        <v>8220.7800000000007</v>
      </c>
      <c r="F22" s="577">
        <f>Trips!D12*-3</f>
        <v>-1548</v>
      </c>
      <c r="G22" s="579">
        <f>E22+F22</f>
        <v>6672.7800000000007</v>
      </c>
      <c r="H22" s="545"/>
      <c r="I22" s="577">
        <f>ROUND(Miles!D12*1.3,2)</f>
        <v>7720.47</v>
      </c>
      <c r="J22" s="577">
        <f>Trips!K12*-3</f>
        <v>-1494</v>
      </c>
      <c r="K22" s="579">
        <f t="shared" si="3"/>
        <v>6226.47</v>
      </c>
      <c r="L22" s="545"/>
      <c r="M22" s="577">
        <f>ROUND(Miles!E12*1.3,2)</f>
        <v>7201.16</v>
      </c>
      <c r="N22" s="577">
        <f>Trips!R12*-3</f>
        <v>-1443</v>
      </c>
      <c r="O22" s="579">
        <f t="shared" si="4"/>
        <v>5758.16</v>
      </c>
      <c r="P22" s="545"/>
      <c r="Q22" s="577">
        <f>ROUND(Miles!F12*1.3,2)</f>
        <v>8119.61</v>
      </c>
      <c r="R22" s="577">
        <f>Trips!Y12*-3</f>
        <v>-1605</v>
      </c>
      <c r="S22" s="579">
        <f t="shared" si="5"/>
        <v>6514.61</v>
      </c>
      <c r="T22" s="545"/>
      <c r="U22" s="577">
        <f>ROUND(Miles!G12*1.3,2)</f>
        <v>6735.48</v>
      </c>
      <c r="V22" s="577">
        <f>Trips!AF12*-3</f>
        <v>-1371</v>
      </c>
      <c r="W22" s="579">
        <f t="shared" si="6"/>
        <v>5364.48</v>
      </c>
      <c r="X22" s="545"/>
      <c r="Y22" s="577">
        <f>ROUND(Miles!H12*1.3,2)</f>
        <v>6688.28</v>
      </c>
      <c r="Z22" s="577">
        <f>Trips!AM12*-3</f>
        <v>-1335</v>
      </c>
      <c r="AA22" s="579">
        <f t="shared" si="7"/>
        <v>5353.28</v>
      </c>
      <c r="AB22" s="545"/>
      <c r="AC22" s="577">
        <f>ROUND(Miles!I12*1.3,2)</f>
        <v>0</v>
      </c>
      <c r="AD22" s="577">
        <f>Trips!AT12*-3</f>
        <v>0</v>
      </c>
      <c r="AE22" s="579">
        <f t="shared" si="8"/>
        <v>0</v>
      </c>
      <c r="AF22" s="545"/>
      <c r="AG22" s="577">
        <f>ROUND(Miles!J12*1.3,2)</f>
        <v>0</v>
      </c>
      <c r="AH22" s="577">
        <f>Trips!BA12*-3</f>
        <v>0</v>
      </c>
      <c r="AI22" s="579">
        <f t="shared" si="9"/>
        <v>0</v>
      </c>
      <c r="AJ22" s="545"/>
      <c r="AK22" s="577">
        <f>ROUND(Miles!K12*1.3,2)</f>
        <v>0</v>
      </c>
      <c r="AL22" s="577">
        <f>Trips!BH12*-3</f>
        <v>0</v>
      </c>
      <c r="AM22" s="579">
        <f t="shared" si="10"/>
        <v>0</v>
      </c>
      <c r="AN22" s="545"/>
      <c r="AO22" s="577">
        <f>ROUND(Miles!L12*1.3,2)</f>
        <v>0</v>
      </c>
      <c r="AP22" s="577">
        <f>Trips!BO12*-3</f>
        <v>0</v>
      </c>
      <c r="AQ22" s="579">
        <f t="shared" si="11"/>
        <v>0</v>
      </c>
      <c r="AR22" s="545"/>
      <c r="AS22" s="577">
        <f>ROUND(Miles!M12*1.3,2)</f>
        <v>0</v>
      </c>
      <c r="AT22" s="577">
        <f>Trips!BV12*-3</f>
        <v>0</v>
      </c>
      <c r="AU22" s="579">
        <f t="shared" si="12"/>
        <v>0</v>
      </c>
      <c r="AV22" s="545"/>
      <c r="AW22" s="577">
        <f>ROUND(Miles!N12*1.3,2)</f>
        <v>0</v>
      </c>
      <c r="AX22" s="577">
        <f>Trips!CC12*-3</f>
        <v>0</v>
      </c>
      <c r="AY22" s="579">
        <f t="shared" si="13"/>
        <v>0</v>
      </c>
      <c r="AZ22" s="545"/>
      <c r="BA22" s="577">
        <f t="shared" si="14"/>
        <v>44685.78</v>
      </c>
      <c r="BB22" s="577">
        <f t="shared" si="15"/>
        <v>-8796</v>
      </c>
      <c r="BC22" s="579">
        <f t="shared" si="16"/>
        <v>35889.78</v>
      </c>
      <c r="BE22" s="546">
        <f t="shared" si="17"/>
        <v>0</v>
      </c>
      <c r="BG22" s="663">
        <v>82977.78</v>
      </c>
      <c r="BH22" s="663">
        <v>-17307</v>
      </c>
      <c r="BI22" s="663">
        <v>65670.78</v>
      </c>
      <c r="BK22" s="663">
        <f t="shared" si="18"/>
        <v>-38292</v>
      </c>
      <c r="BL22" s="663">
        <f t="shared" si="1"/>
        <v>8511</v>
      </c>
      <c r="BM22" s="663">
        <f t="shared" si="2"/>
        <v>-29781</v>
      </c>
    </row>
    <row r="23" spans="2:68" ht="20.100000000000001" customHeight="1">
      <c r="B23" s="547" t="s">
        <v>120</v>
      </c>
      <c r="C23" s="547" t="s">
        <v>134</v>
      </c>
      <c r="D23" s="545"/>
      <c r="E23" s="577">
        <f>ROUND(Miles!C13*2.8,2)</f>
        <v>15808.8</v>
      </c>
      <c r="F23" s="676">
        <f>Trips!D13*0</f>
        <v>0</v>
      </c>
      <c r="G23" s="579">
        <f t="shared" si="46"/>
        <v>15808.8</v>
      </c>
      <c r="H23" s="545"/>
      <c r="I23" s="577">
        <f>ROUND(Miles!D13*2.8,2)</f>
        <v>16696.400000000001</v>
      </c>
      <c r="J23" s="676">
        <f>Trips!K13*0</f>
        <v>0</v>
      </c>
      <c r="K23" s="579">
        <f t="shared" si="3"/>
        <v>16696.400000000001</v>
      </c>
      <c r="L23" s="545"/>
      <c r="M23" s="577">
        <f>ROUND(Miles!E13*2.8,2)</f>
        <v>14655.2</v>
      </c>
      <c r="N23" s="676">
        <f>Trips!R13*0</f>
        <v>0</v>
      </c>
      <c r="O23" s="579">
        <f t="shared" si="4"/>
        <v>14655.2</v>
      </c>
      <c r="P23" s="545"/>
      <c r="Q23" s="577">
        <f>ROUND(Miles!F13*2.8,2)</f>
        <v>16111.2</v>
      </c>
      <c r="R23" s="676">
        <f>Trips!Y13*0</f>
        <v>0</v>
      </c>
      <c r="S23" s="579">
        <f t="shared" si="5"/>
        <v>16111.2</v>
      </c>
      <c r="T23" s="545"/>
      <c r="U23" s="577">
        <f>ROUND(Miles!G13*2.8,2)</f>
        <v>14884.8</v>
      </c>
      <c r="V23" s="676">
        <f>Trips!AF13*0</f>
        <v>0</v>
      </c>
      <c r="W23" s="579">
        <f t="shared" si="6"/>
        <v>14884.8</v>
      </c>
      <c r="X23" s="545"/>
      <c r="Y23" s="577">
        <f>ROUND(Miles!H13*2.8,2)</f>
        <v>14725.2</v>
      </c>
      <c r="Z23" s="676">
        <f>Trips!AM13*0</f>
        <v>0</v>
      </c>
      <c r="AA23" s="579">
        <f t="shared" si="7"/>
        <v>14725.2</v>
      </c>
      <c r="AB23" s="545"/>
      <c r="AC23" s="577">
        <f>ROUND(Miles!I13*2.8,2)</f>
        <v>0</v>
      </c>
      <c r="AD23" s="676">
        <f>Trips!AT13*0</f>
        <v>0</v>
      </c>
      <c r="AE23" s="579">
        <f t="shared" si="8"/>
        <v>0</v>
      </c>
      <c r="AF23" s="545"/>
      <c r="AG23" s="577">
        <f>ROUND(Miles!J13*2.8,2)</f>
        <v>0</v>
      </c>
      <c r="AH23" s="676">
        <f>Trips!BA13*0</f>
        <v>0</v>
      </c>
      <c r="AI23" s="579">
        <f t="shared" si="9"/>
        <v>0</v>
      </c>
      <c r="AJ23" s="545"/>
      <c r="AK23" s="577">
        <f>ROUND(Miles!K13*2.8,2)</f>
        <v>0</v>
      </c>
      <c r="AL23" s="676">
        <f>Trips!BH13*0</f>
        <v>0</v>
      </c>
      <c r="AM23" s="579">
        <f t="shared" si="10"/>
        <v>0</v>
      </c>
      <c r="AN23" s="545"/>
      <c r="AO23" s="577">
        <f>ROUND(Miles!L13*2.8,2)</f>
        <v>0</v>
      </c>
      <c r="AP23" s="676">
        <f>Trips!BO13*0</f>
        <v>0</v>
      </c>
      <c r="AQ23" s="579">
        <f t="shared" si="11"/>
        <v>0</v>
      </c>
      <c r="AR23" s="545"/>
      <c r="AS23" s="577">
        <f>ROUND(Miles!M13*2.8,2)</f>
        <v>0</v>
      </c>
      <c r="AT23" s="676">
        <f>Trips!BV13*0</f>
        <v>0</v>
      </c>
      <c r="AU23" s="579">
        <f t="shared" si="12"/>
        <v>0</v>
      </c>
      <c r="AV23" s="545"/>
      <c r="AW23" s="577">
        <f>ROUND(Miles!N13*2.8,2)</f>
        <v>0</v>
      </c>
      <c r="AX23" s="676">
        <f>Trips!CC13*0</f>
        <v>0</v>
      </c>
      <c r="AY23" s="579">
        <f t="shared" si="13"/>
        <v>0</v>
      </c>
      <c r="AZ23" s="545"/>
      <c r="BA23" s="577">
        <f t="shared" si="14"/>
        <v>92881.600000000006</v>
      </c>
      <c r="BB23" s="577">
        <f t="shared" si="15"/>
        <v>0</v>
      </c>
      <c r="BC23" s="579">
        <f t="shared" si="16"/>
        <v>92881.600000000006</v>
      </c>
      <c r="BE23" s="546">
        <f t="shared" si="17"/>
        <v>0</v>
      </c>
      <c r="BG23" s="663">
        <v>140080.49000000002</v>
      </c>
      <c r="BH23" s="663">
        <v>-4039</v>
      </c>
      <c r="BI23" s="663">
        <v>136041.49000000002</v>
      </c>
      <c r="BK23" s="663">
        <f t="shared" si="18"/>
        <v>-47198.890000000014</v>
      </c>
      <c r="BL23" s="663">
        <f t="shared" si="1"/>
        <v>4039</v>
      </c>
      <c r="BM23" s="663">
        <f t="shared" si="2"/>
        <v>-43159.890000000014</v>
      </c>
    </row>
    <row r="24" spans="2:68" ht="20.100000000000001" customHeight="1">
      <c r="B24" s="547" t="s">
        <v>120</v>
      </c>
      <c r="C24" s="547" t="s">
        <v>135</v>
      </c>
      <c r="D24" s="545"/>
      <c r="E24" s="577">
        <f>ROUND(Miles!C14*2.8,2)</f>
        <v>15668.8</v>
      </c>
      <c r="F24" s="676">
        <f>Trips!D14*0</f>
        <v>0</v>
      </c>
      <c r="G24" s="579">
        <f t="shared" si="46"/>
        <v>15668.8</v>
      </c>
      <c r="H24" s="545"/>
      <c r="I24" s="577">
        <f>ROUND(Miles!D14*2.8,2)</f>
        <v>15842.4</v>
      </c>
      <c r="J24" s="676">
        <f>Trips!K14*0</f>
        <v>0</v>
      </c>
      <c r="K24" s="579">
        <f t="shared" si="3"/>
        <v>15842.4</v>
      </c>
      <c r="L24" s="545"/>
      <c r="M24" s="577">
        <f>ROUND(Miles!E14*2.8,2)</f>
        <v>14686</v>
      </c>
      <c r="N24" s="676">
        <f>Trips!R14*0</f>
        <v>0</v>
      </c>
      <c r="O24" s="579">
        <f t="shared" si="4"/>
        <v>14686</v>
      </c>
      <c r="P24" s="545"/>
      <c r="Q24" s="577">
        <f>ROUND(Miles!F14*2.8,2)</f>
        <v>16716</v>
      </c>
      <c r="R24" s="676">
        <f>Trips!Y14*0</f>
        <v>0</v>
      </c>
      <c r="S24" s="579">
        <f t="shared" si="5"/>
        <v>16716</v>
      </c>
      <c r="T24" s="545"/>
      <c r="U24" s="577">
        <f>ROUND(Miles!G14*2.8,2)</f>
        <v>14156.8</v>
      </c>
      <c r="V24" s="676">
        <f>Trips!AF14*0</f>
        <v>0</v>
      </c>
      <c r="W24" s="579">
        <f t="shared" si="6"/>
        <v>14156.8</v>
      </c>
      <c r="X24" s="545"/>
      <c r="Y24" s="577">
        <f>ROUND(Miles!H14*2.8,2)</f>
        <v>15033.2</v>
      </c>
      <c r="Z24" s="676">
        <f>Trips!AM14*0</f>
        <v>0</v>
      </c>
      <c r="AA24" s="579">
        <f t="shared" si="7"/>
        <v>15033.2</v>
      </c>
      <c r="AB24" s="545"/>
      <c r="AC24" s="577">
        <f>ROUND(Miles!I14*2.8,2)</f>
        <v>0</v>
      </c>
      <c r="AD24" s="676">
        <f>Trips!AT14*0</f>
        <v>0</v>
      </c>
      <c r="AE24" s="579">
        <f t="shared" si="8"/>
        <v>0</v>
      </c>
      <c r="AF24" s="545"/>
      <c r="AG24" s="577">
        <f>ROUND(Miles!J14*2.8,2)</f>
        <v>0</v>
      </c>
      <c r="AH24" s="676">
        <f>Trips!BA14*0</f>
        <v>0</v>
      </c>
      <c r="AI24" s="579">
        <f t="shared" si="9"/>
        <v>0</v>
      </c>
      <c r="AJ24" s="545"/>
      <c r="AK24" s="577">
        <f>ROUND(Miles!K14*2.8,2)</f>
        <v>0</v>
      </c>
      <c r="AL24" s="676">
        <f>Trips!BH14*0</f>
        <v>0</v>
      </c>
      <c r="AM24" s="579">
        <f t="shared" si="10"/>
        <v>0</v>
      </c>
      <c r="AN24" s="545"/>
      <c r="AO24" s="577">
        <f>ROUND(Miles!L14*2.8,2)</f>
        <v>0</v>
      </c>
      <c r="AP24" s="676">
        <f>Trips!BO14*0</f>
        <v>0</v>
      </c>
      <c r="AQ24" s="579">
        <f t="shared" si="11"/>
        <v>0</v>
      </c>
      <c r="AR24" s="545"/>
      <c r="AS24" s="577">
        <f>ROUND(Miles!M14*2.8,2)</f>
        <v>0</v>
      </c>
      <c r="AT24" s="676">
        <f>Trips!BV14*0</f>
        <v>0</v>
      </c>
      <c r="AU24" s="579">
        <f t="shared" si="12"/>
        <v>0</v>
      </c>
      <c r="AV24" s="545"/>
      <c r="AW24" s="577">
        <f>ROUND(Miles!N14*2.8,2)</f>
        <v>0</v>
      </c>
      <c r="AX24" s="676">
        <f>Trips!CC14*0</f>
        <v>0</v>
      </c>
      <c r="AY24" s="579">
        <f t="shared" si="13"/>
        <v>0</v>
      </c>
      <c r="AZ24" s="545"/>
      <c r="BA24" s="577">
        <f t="shared" si="14"/>
        <v>92103.2</v>
      </c>
      <c r="BB24" s="577">
        <f t="shared" si="15"/>
        <v>0</v>
      </c>
      <c r="BC24" s="579">
        <f t="shared" si="16"/>
        <v>92103.2</v>
      </c>
      <c r="BE24" s="546">
        <f t="shared" si="17"/>
        <v>0</v>
      </c>
      <c r="BG24" s="663">
        <v>80223</v>
      </c>
      <c r="BH24" s="663">
        <v>-4119.5</v>
      </c>
      <c r="BI24" s="663">
        <v>76103.5</v>
      </c>
      <c r="BK24" s="663">
        <f t="shared" si="18"/>
        <v>11880.199999999997</v>
      </c>
      <c r="BL24" s="663">
        <f t="shared" si="1"/>
        <v>4119.5</v>
      </c>
      <c r="BM24" s="663">
        <f t="shared" si="2"/>
        <v>15999.699999999997</v>
      </c>
    </row>
    <row r="25" spans="2:68" ht="20.100000000000001" customHeight="1">
      <c r="B25" s="547" t="s">
        <v>120</v>
      </c>
      <c r="C25" s="547" t="s">
        <v>136</v>
      </c>
      <c r="D25" s="545"/>
      <c r="E25" s="577">
        <f>ROUND(Miles!C15*2.8,2)</f>
        <v>10472</v>
      </c>
      <c r="F25" s="676">
        <f>Trips!D15*0</f>
        <v>0</v>
      </c>
      <c r="G25" s="579">
        <f t="shared" si="46"/>
        <v>10472</v>
      </c>
      <c r="H25" s="545"/>
      <c r="I25" s="577">
        <f>ROUND(Miles!D15*2.8,2)</f>
        <v>10166.799999999999</v>
      </c>
      <c r="J25" s="676">
        <f>Trips!K15*0</f>
        <v>0</v>
      </c>
      <c r="K25" s="579">
        <f t="shared" si="3"/>
        <v>10166.799999999999</v>
      </c>
      <c r="L25" s="545"/>
      <c r="M25" s="577">
        <f>ROUND(Miles!E15*2.8,2)</f>
        <v>9385.6</v>
      </c>
      <c r="N25" s="676">
        <f>Trips!R15*0</f>
        <v>0</v>
      </c>
      <c r="O25" s="579">
        <f t="shared" si="4"/>
        <v>9385.6</v>
      </c>
      <c r="P25" s="545"/>
      <c r="Q25" s="577">
        <f>ROUND(Miles!F15*2.8,2)</f>
        <v>10673.6</v>
      </c>
      <c r="R25" s="676">
        <f>Trips!Y15*0</f>
        <v>0</v>
      </c>
      <c r="S25" s="579">
        <f t="shared" si="5"/>
        <v>10673.6</v>
      </c>
      <c r="T25" s="545"/>
      <c r="U25" s="577">
        <f>ROUND(Miles!G15*2.8,2)</f>
        <v>9245.6</v>
      </c>
      <c r="V25" s="676">
        <f>Trips!AF15*0</f>
        <v>0</v>
      </c>
      <c r="W25" s="579">
        <f t="shared" si="6"/>
        <v>9245.6</v>
      </c>
      <c r="X25" s="545"/>
      <c r="Y25" s="577">
        <f>ROUND(Miles!H15*2.8,2)</f>
        <v>9727.2000000000007</v>
      </c>
      <c r="Z25" s="676">
        <f>Trips!AM15*0</f>
        <v>0</v>
      </c>
      <c r="AA25" s="579">
        <f t="shared" si="7"/>
        <v>9727.2000000000007</v>
      </c>
      <c r="AB25" s="545"/>
      <c r="AC25" s="577">
        <f>ROUND(Miles!I15*2.8,2)</f>
        <v>0</v>
      </c>
      <c r="AD25" s="676">
        <f>Trips!AT15*0</f>
        <v>0</v>
      </c>
      <c r="AE25" s="579">
        <f t="shared" si="8"/>
        <v>0</v>
      </c>
      <c r="AF25" s="545"/>
      <c r="AG25" s="577">
        <f>ROUND(Miles!J15*2.8,2)</f>
        <v>0</v>
      </c>
      <c r="AH25" s="676">
        <f>Trips!BA15*0</f>
        <v>0</v>
      </c>
      <c r="AI25" s="579">
        <f t="shared" si="9"/>
        <v>0</v>
      </c>
      <c r="AJ25" s="545"/>
      <c r="AK25" s="577">
        <f>ROUND(Miles!K15*2.8,2)</f>
        <v>0</v>
      </c>
      <c r="AL25" s="676">
        <f>Trips!BH15*0</f>
        <v>0</v>
      </c>
      <c r="AM25" s="579">
        <f t="shared" si="10"/>
        <v>0</v>
      </c>
      <c r="AN25" s="545"/>
      <c r="AO25" s="577">
        <f>ROUND(Miles!L15*2.8,2)</f>
        <v>0</v>
      </c>
      <c r="AP25" s="676">
        <f>Trips!BO15*0</f>
        <v>0</v>
      </c>
      <c r="AQ25" s="579">
        <f t="shared" si="11"/>
        <v>0</v>
      </c>
      <c r="AR25" s="545"/>
      <c r="AS25" s="577">
        <f>ROUND(Miles!M15*2.8,2)</f>
        <v>0</v>
      </c>
      <c r="AT25" s="676">
        <f>Trips!BV15*0</f>
        <v>0</v>
      </c>
      <c r="AU25" s="579">
        <f t="shared" si="12"/>
        <v>0</v>
      </c>
      <c r="AV25" s="545"/>
      <c r="AW25" s="577">
        <f>ROUND(Miles!N15*2.8,2)</f>
        <v>0</v>
      </c>
      <c r="AX25" s="676">
        <f>Trips!CC15*0</f>
        <v>0</v>
      </c>
      <c r="AY25" s="579">
        <f t="shared" si="13"/>
        <v>0</v>
      </c>
      <c r="AZ25" s="545"/>
      <c r="BA25" s="577">
        <f t="shared" si="14"/>
        <v>59670.8</v>
      </c>
      <c r="BB25" s="577">
        <f t="shared" si="15"/>
        <v>0</v>
      </c>
      <c r="BC25" s="579">
        <f t="shared" si="16"/>
        <v>59670.8</v>
      </c>
      <c r="BE25" s="546">
        <f t="shared" si="17"/>
        <v>0</v>
      </c>
      <c r="BG25" s="663">
        <v>55005.600000000006</v>
      </c>
      <c r="BH25" s="663">
        <v>-3213.5</v>
      </c>
      <c r="BI25" s="663">
        <v>51792.100000000006</v>
      </c>
      <c r="BK25" s="663">
        <f t="shared" si="18"/>
        <v>4665.1999999999971</v>
      </c>
      <c r="BL25" s="663">
        <f t="shared" si="1"/>
        <v>3213.5</v>
      </c>
      <c r="BM25" s="663">
        <f t="shared" si="2"/>
        <v>7878.6999999999971</v>
      </c>
    </row>
    <row r="26" spans="2:68" ht="20.100000000000001" hidden="1" customHeight="1">
      <c r="B26" s="547" t="s">
        <v>120</v>
      </c>
      <c r="C26" s="547" t="s">
        <v>32</v>
      </c>
      <c r="D26" s="545"/>
      <c r="E26" s="577" t="e">
        <f>ROUND(Miles!#REF!*1.3,2)</f>
        <v>#REF!</v>
      </c>
      <c r="F26" s="578"/>
      <c r="G26" s="579" t="e">
        <f t="shared" ref="G26:G51" si="47">E26+F26</f>
        <v>#REF!</v>
      </c>
      <c r="H26" s="545"/>
      <c r="I26" s="577" t="e">
        <f>ROUND(Miles!#REF!*1.3,2)</f>
        <v>#REF!</v>
      </c>
      <c r="J26" s="578"/>
      <c r="K26" s="579" t="e">
        <f t="shared" si="3"/>
        <v>#REF!</v>
      </c>
      <c r="L26" s="545"/>
      <c r="M26" s="577" t="e">
        <f>ROUND(Miles!#REF!*1.3,2)</f>
        <v>#REF!</v>
      </c>
      <c r="N26" s="578"/>
      <c r="O26" s="579" t="e">
        <f t="shared" si="4"/>
        <v>#REF!</v>
      </c>
      <c r="P26" s="545"/>
      <c r="Q26" s="577" t="e">
        <f>ROUND(Miles!#REF!*1.3,2)</f>
        <v>#REF!</v>
      </c>
      <c r="R26" s="675"/>
      <c r="S26" s="579" t="e">
        <f t="shared" si="5"/>
        <v>#REF!</v>
      </c>
      <c r="T26" s="545"/>
      <c r="U26" s="577" t="e">
        <f>ROUND(Miles!#REF!*1.3,2)</f>
        <v>#REF!</v>
      </c>
      <c r="V26" s="578"/>
      <c r="W26" s="579" t="e">
        <f t="shared" si="6"/>
        <v>#REF!</v>
      </c>
      <c r="X26" s="545"/>
      <c r="Y26" s="577" t="e">
        <f>ROUND(Miles!#REF!*1.3,2)</f>
        <v>#REF!</v>
      </c>
      <c r="Z26" s="676"/>
      <c r="AA26" s="579" t="e">
        <f t="shared" si="7"/>
        <v>#REF!</v>
      </c>
      <c r="AB26" s="545"/>
      <c r="AC26" s="577" t="e">
        <f>ROUND(Miles!#REF!*1.3,2)</f>
        <v>#REF!</v>
      </c>
      <c r="AD26" s="578"/>
      <c r="AE26" s="579" t="e">
        <f t="shared" si="8"/>
        <v>#REF!</v>
      </c>
      <c r="AF26" s="545"/>
      <c r="AG26" s="577" t="e">
        <f>ROUND(Miles!#REF!*1.3,2)</f>
        <v>#REF!</v>
      </c>
      <c r="AH26" s="676"/>
      <c r="AI26" s="579" t="e">
        <f t="shared" si="9"/>
        <v>#REF!</v>
      </c>
      <c r="AJ26" s="545"/>
      <c r="AK26" s="577" t="e">
        <f>ROUND(Miles!#REF!*1.3,2)</f>
        <v>#REF!</v>
      </c>
      <c r="AL26" s="578"/>
      <c r="AM26" s="579" t="e">
        <f t="shared" si="10"/>
        <v>#REF!</v>
      </c>
      <c r="AN26" s="545"/>
      <c r="AO26" s="577" t="e">
        <f>ROUND(Miles!#REF!*1.3,2)</f>
        <v>#REF!</v>
      </c>
      <c r="AP26" s="578"/>
      <c r="AQ26" s="579" t="e">
        <f t="shared" si="11"/>
        <v>#REF!</v>
      </c>
      <c r="AR26" s="545"/>
      <c r="AS26" s="577" t="e">
        <f>ROUND(Miles!#REF!*1.3,2)</f>
        <v>#REF!</v>
      </c>
      <c r="AT26" s="578"/>
      <c r="AU26" s="579" t="e">
        <f t="shared" si="12"/>
        <v>#REF!</v>
      </c>
      <c r="AV26" s="545"/>
      <c r="AW26" s="577" t="e">
        <f>ROUND(Miles!#REF!*1.3,2)</f>
        <v>#REF!</v>
      </c>
      <c r="AX26" s="578"/>
      <c r="AY26" s="579" t="e">
        <f t="shared" si="13"/>
        <v>#REF!</v>
      </c>
      <c r="AZ26" s="545"/>
      <c r="BA26" s="577" t="e">
        <f t="shared" si="14"/>
        <v>#REF!</v>
      </c>
      <c r="BB26" s="577">
        <f t="shared" si="15"/>
        <v>0</v>
      </c>
      <c r="BC26" s="579" t="e">
        <f t="shared" si="16"/>
        <v>#REF!</v>
      </c>
      <c r="BE26" s="546">
        <f t="shared" si="17"/>
        <v>0</v>
      </c>
      <c r="BG26" s="663">
        <v>0</v>
      </c>
      <c r="BH26" s="663">
        <v>0</v>
      </c>
      <c r="BI26" s="663">
        <v>0</v>
      </c>
      <c r="BK26" s="663" t="e">
        <f t="shared" si="18"/>
        <v>#REF!</v>
      </c>
      <c r="BL26" s="663">
        <f t="shared" si="1"/>
        <v>0</v>
      </c>
      <c r="BM26" s="663" t="e">
        <f t="shared" si="2"/>
        <v>#REF!</v>
      </c>
    </row>
    <row r="27" spans="2:68" ht="20.100000000000001" customHeight="1">
      <c r="B27" s="547" t="s">
        <v>123</v>
      </c>
      <c r="C27" s="547" t="s">
        <v>124</v>
      </c>
      <c r="D27" s="545"/>
      <c r="E27" s="577">
        <f>ROUND(Miles!C16*1.3,2)</f>
        <v>4454.84</v>
      </c>
      <c r="F27" s="578"/>
      <c r="G27" s="579">
        <f t="shared" si="47"/>
        <v>4454.84</v>
      </c>
      <c r="H27" s="545"/>
      <c r="I27" s="577">
        <f>ROUND(Miles!D16*1.3,2)</f>
        <v>4479.58</v>
      </c>
      <c r="J27" s="578"/>
      <c r="K27" s="579">
        <f t="shared" si="3"/>
        <v>4479.58</v>
      </c>
      <c r="L27" s="545"/>
      <c r="M27" s="577">
        <f>ROUND(Miles!E16*1.3,2)</f>
        <v>3715.86</v>
      </c>
      <c r="N27" s="578"/>
      <c r="O27" s="579">
        <f t="shared" si="4"/>
        <v>3715.86</v>
      </c>
      <c r="P27" s="545"/>
      <c r="Q27" s="577">
        <f>ROUND(Miles!F16*1.3,2)</f>
        <v>3434.63</v>
      </c>
      <c r="R27" s="675"/>
      <c r="S27" s="579">
        <f t="shared" si="5"/>
        <v>3434.63</v>
      </c>
      <c r="T27" s="545"/>
      <c r="U27" s="577">
        <f>ROUND(Miles!G16*1.3,2)</f>
        <v>2870.36</v>
      </c>
      <c r="V27" s="578"/>
      <c r="W27" s="579">
        <f t="shared" si="6"/>
        <v>2870.36</v>
      </c>
      <c r="X27" s="545"/>
      <c r="Y27" s="577">
        <f>ROUND(Miles!H16*1.3,2)</f>
        <v>3279.12</v>
      </c>
      <c r="Z27" s="676"/>
      <c r="AA27" s="579">
        <f t="shared" si="7"/>
        <v>3279.12</v>
      </c>
      <c r="AB27" s="545"/>
      <c r="AC27" s="577">
        <f>ROUND(Miles!I16*1.3,2)</f>
        <v>0</v>
      </c>
      <c r="AD27" s="578"/>
      <c r="AE27" s="579">
        <f t="shared" si="8"/>
        <v>0</v>
      </c>
      <c r="AF27" s="545"/>
      <c r="AG27" s="577">
        <f>ROUND(Miles!J16*1.3,2)</f>
        <v>0</v>
      </c>
      <c r="AH27" s="676"/>
      <c r="AI27" s="579">
        <f t="shared" si="9"/>
        <v>0</v>
      </c>
      <c r="AJ27" s="545"/>
      <c r="AK27" s="577">
        <f>ROUND(Miles!K16*1.3,2)</f>
        <v>0</v>
      </c>
      <c r="AL27" s="578"/>
      <c r="AM27" s="579">
        <f t="shared" si="10"/>
        <v>0</v>
      </c>
      <c r="AN27" s="545"/>
      <c r="AO27" s="577">
        <f>ROUND(Miles!L16*1.3,2)</f>
        <v>0</v>
      </c>
      <c r="AP27" s="578"/>
      <c r="AQ27" s="579">
        <f t="shared" si="11"/>
        <v>0</v>
      </c>
      <c r="AR27" s="545"/>
      <c r="AS27" s="577">
        <f>ROUND(Miles!M16*1.3,2)</f>
        <v>0</v>
      </c>
      <c r="AT27" s="578"/>
      <c r="AU27" s="579">
        <f t="shared" si="12"/>
        <v>0</v>
      </c>
      <c r="AV27" s="545"/>
      <c r="AW27" s="577">
        <f>ROUND(Miles!N16*1.3,2)</f>
        <v>0</v>
      </c>
      <c r="AX27" s="578"/>
      <c r="AY27" s="579">
        <f t="shared" si="13"/>
        <v>0</v>
      </c>
      <c r="AZ27" s="545"/>
      <c r="BA27" s="577">
        <f t="shared" si="14"/>
        <v>22234.39</v>
      </c>
      <c r="BB27" s="577">
        <f t="shared" si="15"/>
        <v>0</v>
      </c>
      <c r="BC27" s="579">
        <f t="shared" si="16"/>
        <v>22234.39</v>
      </c>
      <c r="BE27" s="546">
        <f t="shared" si="17"/>
        <v>0</v>
      </c>
      <c r="BG27" s="663">
        <v>54642.01999999999</v>
      </c>
      <c r="BH27" s="663">
        <v>0</v>
      </c>
      <c r="BI27" s="663">
        <v>54642.01999999999</v>
      </c>
      <c r="BK27" s="663">
        <f t="shared" si="18"/>
        <v>-32407.62999999999</v>
      </c>
      <c r="BL27" s="663">
        <f t="shared" si="1"/>
        <v>0</v>
      </c>
      <c r="BM27" s="663">
        <f t="shared" si="2"/>
        <v>-32407.62999999999</v>
      </c>
    </row>
    <row r="28" spans="2:68" ht="20.100000000000001" customHeight="1">
      <c r="B28" s="547" t="s">
        <v>123</v>
      </c>
      <c r="C28" s="547" t="s">
        <v>125</v>
      </c>
      <c r="D28" s="545"/>
      <c r="E28" s="577">
        <f>ROUND(Miles!C17*1.3,2)</f>
        <v>1072.07</v>
      </c>
      <c r="F28" s="578"/>
      <c r="G28" s="579">
        <f t="shared" si="47"/>
        <v>1072.07</v>
      </c>
      <c r="H28" s="545"/>
      <c r="I28" s="577">
        <f>ROUND(Miles!D17*1.3,2)</f>
        <v>1129.3900000000001</v>
      </c>
      <c r="J28" s="578"/>
      <c r="K28" s="579">
        <f t="shared" si="3"/>
        <v>1129.3900000000001</v>
      </c>
      <c r="L28" s="545"/>
      <c r="M28" s="577">
        <f>ROUND(Miles!E17*1.3,2)</f>
        <v>862.75</v>
      </c>
      <c r="N28" s="578"/>
      <c r="O28" s="579">
        <f t="shared" si="4"/>
        <v>862.75</v>
      </c>
      <c r="P28" s="545"/>
      <c r="Q28" s="577">
        <f>ROUND(Miles!F17*1.3,2)</f>
        <v>1050.4000000000001</v>
      </c>
      <c r="R28" s="578"/>
      <c r="S28" s="579">
        <f t="shared" si="5"/>
        <v>1050.4000000000001</v>
      </c>
      <c r="T28" s="545"/>
      <c r="U28" s="577">
        <f>ROUND(Miles!G17*1.3,2)</f>
        <v>579.71</v>
      </c>
      <c r="V28" s="578"/>
      <c r="W28" s="579">
        <f t="shared" si="6"/>
        <v>579.71</v>
      </c>
      <c r="X28" s="545"/>
      <c r="Y28" s="577">
        <f>ROUND(Miles!H17*1.3,2)</f>
        <v>791.44</v>
      </c>
      <c r="Z28" s="578"/>
      <c r="AA28" s="579">
        <f t="shared" si="7"/>
        <v>791.44</v>
      </c>
      <c r="AB28" s="545"/>
      <c r="AC28" s="577">
        <f>ROUND(Miles!I17*1.3,2)</f>
        <v>0</v>
      </c>
      <c r="AD28" s="578"/>
      <c r="AE28" s="579">
        <f t="shared" si="8"/>
        <v>0</v>
      </c>
      <c r="AF28" s="545"/>
      <c r="AG28" s="577">
        <f>ROUND(Miles!J17*1.3,2)</f>
        <v>0</v>
      </c>
      <c r="AH28" s="578"/>
      <c r="AI28" s="579">
        <f t="shared" si="9"/>
        <v>0</v>
      </c>
      <c r="AJ28" s="545"/>
      <c r="AK28" s="577">
        <f>ROUND(Miles!K17*1.3,2)</f>
        <v>0</v>
      </c>
      <c r="AL28" s="578"/>
      <c r="AM28" s="579">
        <f t="shared" si="10"/>
        <v>0</v>
      </c>
      <c r="AN28" s="545"/>
      <c r="AO28" s="577">
        <f>ROUND(Miles!L17*1.3,2)</f>
        <v>0</v>
      </c>
      <c r="AP28" s="578"/>
      <c r="AQ28" s="579">
        <f t="shared" si="11"/>
        <v>0</v>
      </c>
      <c r="AR28" s="545"/>
      <c r="AS28" s="577">
        <f>ROUND(Miles!M17*1.3,2)</f>
        <v>0</v>
      </c>
      <c r="AT28" s="578"/>
      <c r="AU28" s="579">
        <f t="shared" si="12"/>
        <v>0</v>
      </c>
      <c r="AV28" s="545"/>
      <c r="AW28" s="577">
        <f>ROUND(Miles!N17*1.3,2)</f>
        <v>0</v>
      </c>
      <c r="AX28" s="578"/>
      <c r="AY28" s="579">
        <f t="shared" si="13"/>
        <v>0</v>
      </c>
      <c r="AZ28" s="545"/>
      <c r="BA28" s="577">
        <f t="shared" si="14"/>
        <v>5485.76</v>
      </c>
      <c r="BB28" s="577">
        <f t="shared" si="15"/>
        <v>0</v>
      </c>
      <c r="BC28" s="579">
        <f t="shared" si="16"/>
        <v>5485.76</v>
      </c>
      <c r="BE28" s="546">
        <f t="shared" si="17"/>
        <v>0</v>
      </c>
      <c r="BG28" s="663">
        <v>14843.780000000002</v>
      </c>
      <c r="BH28" s="663">
        <v>0</v>
      </c>
      <c r="BI28" s="663">
        <v>14843.780000000002</v>
      </c>
      <c r="BK28" s="663">
        <f t="shared" si="18"/>
        <v>-9358.0200000000023</v>
      </c>
      <c r="BL28" s="663">
        <f t="shared" si="1"/>
        <v>0</v>
      </c>
      <c r="BM28" s="663">
        <f t="shared" si="2"/>
        <v>-9358.0200000000023</v>
      </c>
    </row>
    <row r="29" spans="2:68" ht="20.100000000000001" customHeight="1">
      <c r="B29" s="547" t="s">
        <v>123</v>
      </c>
      <c r="C29" s="547" t="s">
        <v>126</v>
      </c>
      <c r="D29" s="545"/>
      <c r="E29" s="577">
        <f>ROUND(Miles!C18*1.3,2)</f>
        <v>2473.8000000000002</v>
      </c>
      <c r="F29" s="578"/>
      <c r="G29" s="579">
        <f t="shared" si="47"/>
        <v>2473.8000000000002</v>
      </c>
      <c r="H29" s="545"/>
      <c r="I29" s="577">
        <f>ROUND(Miles!D18*1.3,2)</f>
        <v>2682.69</v>
      </c>
      <c r="J29" s="578"/>
      <c r="K29" s="579">
        <f t="shared" si="3"/>
        <v>2682.69</v>
      </c>
      <c r="L29" s="545"/>
      <c r="M29" s="577">
        <f>ROUND(Miles!E18*1.3,2)</f>
        <v>2881.23</v>
      </c>
      <c r="N29" s="578"/>
      <c r="O29" s="579">
        <f t="shared" si="4"/>
        <v>2881.23</v>
      </c>
      <c r="P29" s="545"/>
      <c r="Q29" s="577">
        <f>ROUND(Miles!F18*1.3,2)</f>
        <v>3029.01</v>
      </c>
      <c r="R29" s="578"/>
      <c r="S29" s="579">
        <f t="shared" si="5"/>
        <v>3029.01</v>
      </c>
      <c r="T29" s="545"/>
      <c r="U29" s="577">
        <f>ROUND(Miles!G18*1.3,2)</f>
        <v>2622.05</v>
      </c>
      <c r="V29" s="578"/>
      <c r="W29" s="579">
        <f t="shared" si="6"/>
        <v>2622.05</v>
      </c>
      <c r="X29" s="545"/>
      <c r="Y29" s="577">
        <f>ROUND(Miles!H18*1.3,2)</f>
        <v>2597.7399999999998</v>
      </c>
      <c r="Z29" s="578"/>
      <c r="AA29" s="579">
        <f t="shared" si="7"/>
        <v>2597.7399999999998</v>
      </c>
      <c r="AB29" s="545"/>
      <c r="AC29" s="577">
        <f>ROUND(Miles!I18*1.3,2)</f>
        <v>0</v>
      </c>
      <c r="AD29" s="578"/>
      <c r="AE29" s="579">
        <f t="shared" si="8"/>
        <v>0</v>
      </c>
      <c r="AF29" s="545"/>
      <c r="AG29" s="577">
        <f>ROUND(Miles!J18*1.3,2)</f>
        <v>0</v>
      </c>
      <c r="AH29" s="578"/>
      <c r="AI29" s="579">
        <f t="shared" si="9"/>
        <v>0</v>
      </c>
      <c r="AJ29" s="545"/>
      <c r="AK29" s="577">
        <f>ROUND(Miles!K18*1.3,2)</f>
        <v>0</v>
      </c>
      <c r="AL29" s="578"/>
      <c r="AM29" s="579">
        <f t="shared" si="10"/>
        <v>0</v>
      </c>
      <c r="AN29" s="545"/>
      <c r="AO29" s="577">
        <f>ROUND(Miles!L18*1.3,2)</f>
        <v>0</v>
      </c>
      <c r="AP29" s="578"/>
      <c r="AQ29" s="579">
        <f t="shared" si="11"/>
        <v>0</v>
      </c>
      <c r="AR29" s="545"/>
      <c r="AS29" s="577">
        <f>ROUND(Miles!M18*1.3,2)</f>
        <v>0</v>
      </c>
      <c r="AT29" s="578"/>
      <c r="AU29" s="579">
        <f t="shared" si="12"/>
        <v>0</v>
      </c>
      <c r="AV29" s="545"/>
      <c r="AW29" s="577">
        <f>ROUND(Miles!N18*1.3,2)</f>
        <v>0</v>
      </c>
      <c r="AX29" s="578"/>
      <c r="AY29" s="579">
        <f t="shared" si="13"/>
        <v>0</v>
      </c>
      <c r="AZ29" s="545"/>
      <c r="BA29" s="577">
        <f t="shared" si="14"/>
        <v>16286.519999999999</v>
      </c>
      <c r="BB29" s="577">
        <f t="shared" si="15"/>
        <v>0</v>
      </c>
      <c r="BC29" s="579">
        <f t="shared" si="16"/>
        <v>16286.519999999999</v>
      </c>
      <c r="BE29" s="546">
        <f t="shared" si="17"/>
        <v>0</v>
      </c>
      <c r="BG29" s="663">
        <v>50381.399999999994</v>
      </c>
      <c r="BH29" s="663">
        <v>0</v>
      </c>
      <c r="BI29" s="663">
        <v>50381.399999999994</v>
      </c>
      <c r="BK29" s="663">
        <f t="shared" si="18"/>
        <v>-34094.879999999997</v>
      </c>
      <c r="BL29" s="663">
        <f t="shared" si="1"/>
        <v>0</v>
      </c>
      <c r="BM29" s="663">
        <f t="shared" si="2"/>
        <v>-34094.879999999997</v>
      </c>
    </row>
    <row r="30" spans="2:68" ht="20.100000000000001" customHeight="1">
      <c r="B30" s="677" t="s">
        <v>491</v>
      </c>
      <c r="C30" s="677" t="s">
        <v>124</v>
      </c>
      <c r="D30" s="545"/>
      <c r="E30" s="577">
        <f>ROUND(Miles!C19*1.3,2)</f>
        <v>177.93</v>
      </c>
      <c r="F30" s="578"/>
      <c r="G30" s="579">
        <f t="shared" ref="G30" si="48">E30+F30</f>
        <v>177.93</v>
      </c>
      <c r="H30" s="545"/>
      <c r="I30" s="577">
        <f>ROUND(Miles!D19*1.3,2)</f>
        <v>112.29</v>
      </c>
      <c r="J30" s="578"/>
      <c r="K30" s="579">
        <f t="shared" ref="K30" si="49">I30+J30</f>
        <v>112.29</v>
      </c>
      <c r="L30" s="545"/>
      <c r="M30" s="577">
        <f>ROUND(Miles!E19*1.3,2)</f>
        <v>193.9</v>
      </c>
      <c r="N30" s="578"/>
      <c r="O30" s="579">
        <f t="shared" ref="O30" si="50">M30+N30</f>
        <v>193.9</v>
      </c>
      <c r="P30" s="545"/>
      <c r="Q30" s="577">
        <f>ROUND(Miles!F19*1.3,2)</f>
        <v>193.87</v>
      </c>
      <c r="R30" s="578"/>
      <c r="S30" s="579">
        <f t="shared" ref="S30" si="51">Q30+R30</f>
        <v>193.87</v>
      </c>
      <c r="T30" s="545"/>
      <c r="U30" s="577">
        <f>ROUND(Miles!G19*1.3,2)</f>
        <v>191.24</v>
      </c>
      <c r="V30" s="578"/>
      <c r="W30" s="579">
        <f t="shared" ref="W30" si="52">U30+V30</f>
        <v>191.24</v>
      </c>
      <c r="X30" s="545"/>
      <c r="Y30" s="577">
        <f>ROUND(Miles!H19*1.3,2)</f>
        <v>152.02000000000001</v>
      </c>
      <c r="Z30" s="578"/>
      <c r="AA30" s="579">
        <f t="shared" si="7"/>
        <v>152.02000000000001</v>
      </c>
      <c r="AB30" s="545"/>
      <c r="AC30" s="577">
        <f>ROUND(Miles!I19*1.3,2)</f>
        <v>0</v>
      </c>
      <c r="AD30" s="578"/>
      <c r="AE30" s="579">
        <f t="shared" si="8"/>
        <v>0</v>
      </c>
      <c r="AF30" s="545"/>
      <c r="AG30" s="577">
        <f>ROUND(Miles!J19*1.3,2)</f>
        <v>0</v>
      </c>
      <c r="AH30" s="578"/>
      <c r="AI30" s="579">
        <f t="shared" si="9"/>
        <v>0</v>
      </c>
      <c r="AJ30" s="545"/>
      <c r="AK30" s="577">
        <f>ROUND(Miles!K19*1.3,2)</f>
        <v>0</v>
      </c>
      <c r="AL30" s="578"/>
      <c r="AM30" s="579">
        <f t="shared" si="10"/>
        <v>0</v>
      </c>
      <c r="AN30" s="545"/>
      <c r="AO30" s="577">
        <f>ROUND(Miles!L19*1.3,2)</f>
        <v>0</v>
      </c>
      <c r="AP30" s="578"/>
      <c r="AQ30" s="579">
        <f t="shared" si="11"/>
        <v>0</v>
      </c>
      <c r="AR30" s="545"/>
      <c r="AS30" s="577">
        <f>ROUND(Miles!M19*1.3,2)</f>
        <v>0</v>
      </c>
      <c r="AT30" s="578"/>
      <c r="AU30" s="579">
        <f t="shared" si="12"/>
        <v>0</v>
      </c>
      <c r="AV30" s="545"/>
      <c r="AW30" s="577">
        <f>ROUND(Miles!N19*1.3,2)</f>
        <v>0</v>
      </c>
      <c r="AX30" s="578"/>
      <c r="AY30" s="579">
        <f t="shared" si="13"/>
        <v>0</v>
      </c>
      <c r="AZ30" s="545"/>
      <c r="BA30" s="577">
        <f t="shared" si="14"/>
        <v>1021.25</v>
      </c>
      <c r="BB30" s="577">
        <f t="shared" si="15"/>
        <v>0</v>
      </c>
      <c r="BC30" s="579">
        <f t="shared" si="16"/>
        <v>1021.25</v>
      </c>
      <c r="BE30" s="546">
        <f t="shared" si="17"/>
        <v>0</v>
      </c>
      <c r="BG30" s="663">
        <v>0</v>
      </c>
      <c r="BH30" s="663">
        <v>0</v>
      </c>
      <c r="BI30" s="663">
        <v>0</v>
      </c>
      <c r="BK30" s="663">
        <f t="shared" si="18"/>
        <v>1021.25</v>
      </c>
      <c r="BL30" s="663">
        <f t="shared" si="1"/>
        <v>0</v>
      </c>
      <c r="BM30" s="663">
        <f t="shared" si="2"/>
        <v>1021.25</v>
      </c>
    </row>
    <row r="31" spans="2:68" ht="20.100000000000001" customHeight="1">
      <c r="B31" s="547" t="s">
        <v>327</v>
      </c>
      <c r="C31" s="547" t="s">
        <v>14</v>
      </c>
      <c r="D31" s="545"/>
      <c r="E31" s="577" t="e">
        <f>ROUND(Miles!#REF!*9.3,2)</f>
        <v>#REF!</v>
      </c>
      <c r="F31" s="578"/>
      <c r="G31" s="579" t="e">
        <f t="shared" si="47"/>
        <v>#REF!</v>
      </c>
      <c r="H31" s="545"/>
      <c r="I31" s="577">
        <f>ROUND(Miles!D20*3.1,2)</f>
        <v>26341.88</v>
      </c>
      <c r="J31" s="578"/>
      <c r="K31" s="579">
        <f t="shared" si="3"/>
        <v>26341.88</v>
      </c>
      <c r="L31" s="545"/>
      <c r="M31" s="577">
        <f>ROUND(Miles!E20*3.1,2)</f>
        <v>17188.169999999998</v>
      </c>
      <c r="N31" s="578"/>
      <c r="O31" s="579">
        <f t="shared" si="4"/>
        <v>17188.169999999998</v>
      </c>
      <c r="P31" s="545"/>
      <c r="Q31" s="577">
        <f>ROUND(Miles!F20*3.1,2)</f>
        <v>29432.89</v>
      </c>
      <c r="R31" s="578"/>
      <c r="S31" s="579">
        <f t="shared" si="5"/>
        <v>29432.89</v>
      </c>
      <c r="T31" s="545"/>
      <c r="U31" s="577">
        <f>ROUND(Miles!G20*3.1,2)</f>
        <v>22099.99</v>
      </c>
      <c r="V31" s="578"/>
      <c r="W31" s="579">
        <f t="shared" si="6"/>
        <v>22099.99</v>
      </c>
      <c r="X31" s="545"/>
      <c r="Y31" s="577">
        <f>ROUND(Miles!H20*3.1,2)</f>
        <v>17225.650000000001</v>
      </c>
      <c r="Z31" s="578"/>
      <c r="AA31" s="579">
        <f t="shared" si="7"/>
        <v>17225.650000000001</v>
      </c>
      <c r="AB31" s="545"/>
      <c r="AC31" s="577">
        <f>ROUND(Miles!I20*3.1,2)</f>
        <v>0</v>
      </c>
      <c r="AD31" s="578"/>
      <c r="AE31" s="579">
        <f t="shared" si="8"/>
        <v>0</v>
      </c>
      <c r="AF31" s="545"/>
      <c r="AG31" s="577">
        <f>ROUND(Miles!J20*3.1,2)</f>
        <v>0</v>
      </c>
      <c r="AH31" s="580"/>
      <c r="AI31" s="577">
        <f t="shared" si="9"/>
        <v>0</v>
      </c>
      <c r="AJ31" s="581"/>
      <c r="AK31" s="577">
        <f>ROUND(Miles!K20*3.1,2)</f>
        <v>0</v>
      </c>
      <c r="AL31" s="578"/>
      <c r="AM31" s="579">
        <f t="shared" si="10"/>
        <v>0</v>
      </c>
      <c r="AN31" s="581"/>
      <c r="AO31" s="577">
        <f>ROUND(Miles!L20*3.1,2)</f>
        <v>0</v>
      </c>
      <c r="AP31" s="580"/>
      <c r="AQ31" s="579">
        <f t="shared" si="11"/>
        <v>0</v>
      </c>
      <c r="AR31" s="581"/>
      <c r="AS31" s="577">
        <f>ROUND(Miles!M20*3.1,2)</f>
        <v>0</v>
      </c>
      <c r="AT31" s="580"/>
      <c r="AU31" s="577">
        <f t="shared" si="12"/>
        <v>0</v>
      </c>
      <c r="AV31" s="581"/>
      <c r="AW31" s="577">
        <f>ROUND(Miles!N20*3.1,2)</f>
        <v>0</v>
      </c>
      <c r="AX31" s="580"/>
      <c r="AY31" s="579">
        <f t="shared" si="13"/>
        <v>0</v>
      </c>
      <c r="AZ31" s="545"/>
      <c r="BA31" s="577" t="e">
        <f t="shared" si="14"/>
        <v>#REF!</v>
      </c>
      <c r="BB31" s="577">
        <f t="shared" si="15"/>
        <v>0</v>
      </c>
      <c r="BC31" s="579" t="e">
        <f t="shared" si="16"/>
        <v>#REF!</v>
      </c>
      <c r="BE31" s="546">
        <f t="shared" si="17"/>
        <v>0</v>
      </c>
      <c r="BG31" s="663">
        <v>128041.08999999998</v>
      </c>
      <c r="BH31" s="663">
        <v>0</v>
      </c>
      <c r="BI31" s="663">
        <v>128041.08999999998</v>
      </c>
      <c r="BK31" s="663" t="e">
        <f t="shared" si="18"/>
        <v>#REF!</v>
      </c>
      <c r="BL31" s="663">
        <f t="shared" si="1"/>
        <v>0</v>
      </c>
      <c r="BM31" s="663" t="e">
        <f t="shared" si="2"/>
        <v>#REF!</v>
      </c>
    </row>
    <row r="32" spans="2:68" ht="20.100000000000001" hidden="1" customHeight="1">
      <c r="B32" s="547" t="s">
        <v>176</v>
      </c>
      <c r="C32" s="547" t="s">
        <v>14</v>
      </c>
      <c r="D32" s="545"/>
      <c r="E32" s="577" t="e">
        <f>ROUND(Miles!#REF!*1.3,2)</f>
        <v>#REF!</v>
      </c>
      <c r="F32" s="578"/>
      <c r="G32" s="579" t="e">
        <f t="shared" si="47"/>
        <v>#REF!</v>
      </c>
      <c r="H32" s="545"/>
      <c r="I32" s="577" t="e">
        <f>ROUND(Miles!#REF!*1.3,2)</f>
        <v>#REF!</v>
      </c>
      <c r="J32" s="578"/>
      <c r="K32" s="579" t="e">
        <f t="shared" si="3"/>
        <v>#REF!</v>
      </c>
      <c r="L32" s="545"/>
      <c r="M32" s="577" t="e">
        <f>ROUND(Miles!#REF!*1.3,2)</f>
        <v>#REF!</v>
      </c>
      <c r="N32" s="578"/>
      <c r="O32" s="579" t="e">
        <f t="shared" si="4"/>
        <v>#REF!</v>
      </c>
      <c r="P32" s="545"/>
      <c r="Q32" s="577" t="e">
        <f>ROUND(Miles!#REF!*1.3,2)</f>
        <v>#REF!</v>
      </c>
      <c r="R32" s="578"/>
      <c r="S32" s="579" t="e">
        <f t="shared" si="5"/>
        <v>#REF!</v>
      </c>
      <c r="T32" s="545"/>
      <c r="U32" s="577" t="e">
        <f>ROUND(Miles!#REF!*1.3,2)</f>
        <v>#REF!</v>
      </c>
      <c r="V32" s="578"/>
      <c r="W32" s="579" t="e">
        <f t="shared" si="6"/>
        <v>#REF!</v>
      </c>
      <c r="X32" s="545"/>
      <c r="Y32" s="577" t="e">
        <f>ROUND(Miles!#REF!*1.3,2)</f>
        <v>#REF!</v>
      </c>
      <c r="Z32" s="578"/>
      <c r="AA32" s="579" t="e">
        <f t="shared" si="7"/>
        <v>#REF!</v>
      </c>
      <c r="AB32" s="545"/>
      <c r="AC32" s="577" t="e">
        <f>ROUND(Miles!#REF!*1.3,2)</f>
        <v>#REF!</v>
      </c>
      <c r="AD32" s="578"/>
      <c r="AE32" s="579" t="e">
        <f t="shared" si="8"/>
        <v>#REF!</v>
      </c>
      <c r="AF32" s="545"/>
      <c r="AG32" s="577" t="e">
        <f>ROUND(Miles!#REF!*1.3,2)</f>
        <v>#REF!</v>
      </c>
      <c r="AH32" s="578"/>
      <c r="AI32" s="579" t="e">
        <f t="shared" si="9"/>
        <v>#REF!</v>
      </c>
      <c r="AJ32" s="545"/>
      <c r="AK32" s="577" t="e">
        <f>ROUND(Miles!#REF!*1.3,2)</f>
        <v>#REF!</v>
      </c>
      <c r="AL32" s="578"/>
      <c r="AM32" s="579" t="e">
        <f t="shared" si="10"/>
        <v>#REF!</v>
      </c>
      <c r="AN32" s="545"/>
      <c r="AO32" s="577" t="e">
        <f>ROUND(Miles!#REF!*1.3,2)</f>
        <v>#REF!</v>
      </c>
      <c r="AP32" s="578"/>
      <c r="AQ32" s="579" t="e">
        <f t="shared" si="11"/>
        <v>#REF!</v>
      </c>
      <c r="AR32" s="545"/>
      <c r="AS32" s="577" t="e">
        <f>ROUND(Miles!#REF!*1.3,2)</f>
        <v>#REF!</v>
      </c>
      <c r="AT32" s="578"/>
      <c r="AU32" s="579" t="e">
        <f t="shared" si="12"/>
        <v>#REF!</v>
      </c>
      <c r="AV32" s="545"/>
      <c r="AW32" s="577" t="e">
        <f>ROUND(Miles!#REF!*1.3,2)</f>
        <v>#REF!</v>
      </c>
      <c r="AX32" s="578"/>
      <c r="AY32" s="579" t="e">
        <f t="shared" si="13"/>
        <v>#REF!</v>
      </c>
      <c r="AZ32" s="545"/>
      <c r="BA32" s="577" t="e">
        <f>E32+I32+M32+Q32+U32+Y32+AC32+AG32+AK32+AO32+AS32+AW32</f>
        <v>#REF!</v>
      </c>
      <c r="BB32" s="577">
        <f>F32+J32+N32+R32+V32+Z32+AD32+AH32+AL32+AP32+AT32+AX32</f>
        <v>0</v>
      </c>
      <c r="BC32" s="579" t="e">
        <f>G32+K32+O32+S32+W32+AA32+AE32+AI32+AM32+AQ32+AU32+AY32</f>
        <v>#REF!</v>
      </c>
      <c r="BE32" s="546">
        <f t="shared" si="17"/>
        <v>0</v>
      </c>
      <c r="BG32" s="663">
        <v>0</v>
      </c>
      <c r="BH32" s="663">
        <v>0</v>
      </c>
      <c r="BI32" s="663">
        <v>0</v>
      </c>
      <c r="BK32" s="663" t="e">
        <f t="shared" si="18"/>
        <v>#REF!</v>
      </c>
      <c r="BL32" s="663">
        <f t="shared" si="1"/>
        <v>0</v>
      </c>
      <c r="BM32" s="663" t="e">
        <f t="shared" si="2"/>
        <v>#REF!</v>
      </c>
    </row>
    <row r="33" spans="2:65" ht="20.100000000000001" customHeight="1">
      <c r="B33" s="547" t="s">
        <v>122</v>
      </c>
      <c r="C33" s="547" t="s">
        <v>22</v>
      </c>
      <c r="D33" s="545"/>
      <c r="E33" s="577">
        <f>ROUND(Miles!C21*1.3,2)</f>
        <v>295.82</v>
      </c>
      <c r="F33" s="578"/>
      <c r="G33" s="579">
        <f t="shared" si="47"/>
        <v>295.82</v>
      </c>
      <c r="H33" s="545"/>
      <c r="I33" s="577">
        <f>ROUND(Miles!D21*1.3,2)</f>
        <v>94.58</v>
      </c>
      <c r="J33" s="578"/>
      <c r="K33" s="579">
        <f t="shared" si="3"/>
        <v>94.58</v>
      </c>
      <c r="L33" s="545"/>
      <c r="M33" s="577">
        <f>ROUND(Miles!E21*1.3,2)</f>
        <v>213.36</v>
      </c>
      <c r="N33" s="578"/>
      <c r="O33" s="579">
        <f t="shared" si="4"/>
        <v>213.36</v>
      </c>
      <c r="P33" s="545"/>
      <c r="Q33" s="577">
        <f>ROUND(Miles!F21*1.3,2)</f>
        <v>261.24</v>
      </c>
      <c r="R33" s="578"/>
      <c r="S33" s="579">
        <f t="shared" si="5"/>
        <v>261.24</v>
      </c>
      <c r="T33" s="545"/>
      <c r="U33" s="577">
        <f>ROUND(Miles!G21*1.3,2)</f>
        <v>143.87</v>
      </c>
      <c r="V33" s="578"/>
      <c r="W33" s="579">
        <f t="shared" si="6"/>
        <v>143.87</v>
      </c>
      <c r="X33" s="545"/>
      <c r="Y33" s="577">
        <f>ROUND(Miles!H21*1.3,2)</f>
        <v>128.27000000000001</v>
      </c>
      <c r="Z33" s="578"/>
      <c r="AA33" s="579">
        <f t="shared" si="7"/>
        <v>128.27000000000001</v>
      </c>
      <c r="AB33" s="545"/>
      <c r="AC33" s="577">
        <f>ROUND(Miles!I21*1.3,2)</f>
        <v>0</v>
      </c>
      <c r="AD33" s="578"/>
      <c r="AE33" s="579">
        <f t="shared" si="8"/>
        <v>0</v>
      </c>
      <c r="AF33" s="545"/>
      <c r="AG33" s="577">
        <f>ROUND(Miles!J21*1.3,2)</f>
        <v>0</v>
      </c>
      <c r="AH33" s="578"/>
      <c r="AI33" s="579">
        <f t="shared" si="9"/>
        <v>0</v>
      </c>
      <c r="AJ33" s="545"/>
      <c r="AK33" s="577">
        <f>ROUND(Miles!K21*1.3,2)</f>
        <v>0</v>
      </c>
      <c r="AL33" s="578"/>
      <c r="AM33" s="579">
        <f t="shared" si="10"/>
        <v>0</v>
      </c>
      <c r="AN33" s="545"/>
      <c r="AO33" s="577">
        <f>ROUND(Miles!L21*1.3,2)</f>
        <v>0</v>
      </c>
      <c r="AP33" s="578"/>
      <c r="AQ33" s="579">
        <f t="shared" si="11"/>
        <v>0</v>
      </c>
      <c r="AR33" s="545"/>
      <c r="AS33" s="577">
        <f>ROUND(Miles!M21*1.3,2)</f>
        <v>0</v>
      </c>
      <c r="AT33" s="578"/>
      <c r="AU33" s="579">
        <f t="shared" si="12"/>
        <v>0</v>
      </c>
      <c r="AV33" s="545"/>
      <c r="AW33" s="577">
        <f>ROUND(Miles!N21*1.3,2)</f>
        <v>0</v>
      </c>
      <c r="AX33" s="578"/>
      <c r="AY33" s="579">
        <f t="shared" si="13"/>
        <v>0</v>
      </c>
      <c r="AZ33" s="545"/>
      <c r="BA33" s="577">
        <f t="shared" si="14"/>
        <v>1137.1400000000001</v>
      </c>
      <c r="BB33" s="577">
        <f t="shared" si="15"/>
        <v>0</v>
      </c>
      <c r="BC33" s="579">
        <f t="shared" si="16"/>
        <v>1137.1400000000001</v>
      </c>
      <c r="BE33" s="546">
        <f t="shared" si="17"/>
        <v>0</v>
      </c>
      <c r="BG33" s="663">
        <v>2163.63</v>
      </c>
      <c r="BH33" s="663">
        <v>0</v>
      </c>
      <c r="BI33" s="663">
        <v>2163.63</v>
      </c>
      <c r="BK33" s="663">
        <f t="shared" si="18"/>
        <v>-1026.49</v>
      </c>
      <c r="BL33" s="663">
        <f t="shared" si="1"/>
        <v>0</v>
      </c>
      <c r="BM33" s="663">
        <f t="shared" si="2"/>
        <v>-1026.49</v>
      </c>
    </row>
    <row r="34" spans="2:65" ht="20.100000000000001" customHeight="1">
      <c r="B34" s="547" t="s">
        <v>95</v>
      </c>
      <c r="C34" s="547" t="s">
        <v>14</v>
      </c>
      <c r="D34" s="545"/>
      <c r="E34" s="577">
        <f>ROUND(Miles!C22*1.3,2)</f>
        <v>3566.21</v>
      </c>
      <c r="F34" s="578"/>
      <c r="G34" s="579">
        <f t="shared" si="47"/>
        <v>3566.21</v>
      </c>
      <c r="H34" s="545"/>
      <c r="I34" s="577">
        <f>ROUND(Miles!D22*1.3,2)</f>
        <v>3734.85</v>
      </c>
      <c r="J34" s="578"/>
      <c r="K34" s="579">
        <f t="shared" si="3"/>
        <v>3734.85</v>
      </c>
      <c r="L34" s="545"/>
      <c r="M34" s="577">
        <f>ROUND(Miles!E22*1.3,2)</f>
        <v>3346.84</v>
      </c>
      <c r="N34" s="578"/>
      <c r="O34" s="579">
        <f t="shared" si="4"/>
        <v>3346.84</v>
      </c>
      <c r="P34" s="545"/>
      <c r="Q34" s="577">
        <f>ROUND(Miles!F22*1.3,2)</f>
        <v>3452.8</v>
      </c>
      <c r="R34" s="578"/>
      <c r="S34" s="579">
        <f t="shared" si="5"/>
        <v>3452.8</v>
      </c>
      <c r="T34" s="545"/>
      <c r="U34" s="577">
        <f>ROUND(Miles!G22*1.3,2)</f>
        <v>2671.44</v>
      </c>
      <c r="V34" s="578"/>
      <c r="W34" s="579">
        <f t="shared" si="6"/>
        <v>2671.44</v>
      </c>
      <c r="X34" s="545"/>
      <c r="Y34" s="577">
        <f>ROUND(Miles!H22*1.3,2)</f>
        <v>2893.67</v>
      </c>
      <c r="Z34" s="578"/>
      <c r="AA34" s="579">
        <f t="shared" si="7"/>
        <v>2893.67</v>
      </c>
      <c r="AB34" s="545"/>
      <c r="AC34" s="577">
        <f>ROUND(Miles!I22*1.3,2)</f>
        <v>0</v>
      </c>
      <c r="AD34" s="578"/>
      <c r="AE34" s="579">
        <f t="shared" si="8"/>
        <v>0</v>
      </c>
      <c r="AF34" s="545"/>
      <c r="AG34" s="577">
        <f>ROUND(Miles!J22*1.3,2)</f>
        <v>0</v>
      </c>
      <c r="AH34" s="578"/>
      <c r="AI34" s="579">
        <f t="shared" si="9"/>
        <v>0</v>
      </c>
      <c r="AJ34" s="545"/>
      <c r="AK34" s="577">
        <f>ROUND(Miles!K22*1.3,2)</f>
        <v>0</v>
      </c>
      <c r="AL34" s="578"/>
      <c r="AM34" s="579">
        <f t="shared" si="10"/>
        <v>0</v>
      </c>
      <c r="AN34" s="545"/>
      <c r="AO34" s="577">
        <f>ROUND(Miles!L22*1.3,2)</f>
        <v>0</v>
      </c>
      <c r="AP34" s="578"/>
      <c r="AQ34" s="579">
        <f t="shared" si="11"/>
        <v>0</v>
      </c>
      <c r="AR34" s="545"/>
      <c r="AS34" s="577">
        <f>ROUND(Miles!M22*1.3,2)</f>
        <v>0</v>
      </c>
      <c r="AT34" s="578"/>
      <c r="AU34" s="579">
        <f t="shared" si="12"/>
        <v>0</v>
      </c>
      <c r="AV34" s="545"/>
      <c r="AW34" s="577">
        <f>ROUND(Miles!N22*1.3,2)</f>
        <v>0</v>
      </c>
      <c r="AX34" s="578"/>
      <c r="AY34" s="579">
        <f t="shared" si="13"/>
        <v>0</v>
      </c>
      <c r="AZ34" s="545"/>
      <c r="BA34" s="577">
        <f t="shared" si="14"/>
        <v>19665.809999999998</v>
      </c>
      <c r="BB34" s="577">
        <f t="shared" si="15"/>
        <v>0</v>
      </c>
      <c r="BC34" s="579">
        <f t="shared" si="16"/>
        <v>19665.809999999998</v>
      </c>
      <c r="BE34" s="546">
        <f t="shared" si="17"/>
        <v>0</v>
      </c>
      <c r="BG34" s="663">
        <v>44795.119999999995</v>
      </c>
      <c r="BH34" s="663">
        <v>0</v>
      </c>
      <c r="BI34" s="663">
        <v>44795.119999999995</v>
      </c>
      <c r="BK34" s="663">
        <f t="shared" si="18"/>
        <v>-25129.309999999998</v>
      </c>
      <c r="BL34" s="663">
        <f t="shared" si="1"/>
        <v>0</v>
      </c>
      <c r="BM34" s="663">
        <f t="shared" si="2"/>
        <v>-25129.309999999998</v>
      </c>
    </row>
    <row r="35" spans="2:65" ht="20.100000000000001" hidden="1" customHeight="1">
      <c r="B35" s="547" t="s">
        <v>133</v>
      </c>
      <c r="C35" s="547" t="s">
        <v>152</v>
      </c>
      <c r="D35" s="545"/>
      <c r="E35" s="577" t="e">
        <f>ROUND(Miles!#REF!*1.3,2)</f>
        <v>#REF!</v>
      </c>
      <c r="F35" s="578"/>
      <c r="G35" s="579" t="e">
        <f t="shared" si="47"/>
        <v>#REF!</v>
      </c>
      <c r="H35" s="545"/>
      <c r="I35" s="577" t="e">
        <f>ROUND(Miles!#REF!*1.3,2)</f>
        <v>#REF!</v>
      </c>
      <c r="J35" s="578"/>
      <c r="K35" s="579" t="e">
        <f t="shared" si="3"/>
        <v>#REF!</v>
      </c>
      <c r="L35" s="545"/>
      <c r="M35" s="577" t="e">
        <f>ROUND(Miles!#REF!*1.3,2)</f>
        <v>#REF!</v>
      </c>
      <c r="N35" s="578"/>
      <c r="O35" s="579" t="e">
        <f t="shared" si="4"/>
        <v>#REF!</v>
      </c>
      <c r="P35" s="545"/>
      <c r="Q35" s="577" t="e">
        <f>ROUND(Miles!#REF!*1.3,2)</f>
        <v>#REF!</v>
      </c>
      <c r="R35" s="578"/>
      <c r="S35" s="579" t="e">
        <f t="shared" si="5"/>
        <v>#REF!</v>
      </c>
      <c r="T35" s="545"/>
      <c r="U35" s="577" t="e">
        <f>ROUND(Miles!#REF!*1.3,2)</f>
        <v>#REF!</v>
      </c>
      <c r="V35" s="578"/>
      <c r="W35" s="579" t="e">
        <f t="shared" si="6"/>
        <v>#REF!</v>
      </c>
      <c r="X35" s="545"/>
      <c r="Y35" s="577" t="e">
        <f>ROUND(Miles!#REF!*1.3,2)</f>
        <v>#REF!</v>
      </c>
      <c r="Z35" s="578"/>
      <c r="AA35" s="579" t="e">
        <f t="shared" si="7"/>
        <v>#REF!</v>
      </c>
      <c r="AB35" s="545"/>
      <c r="AC35" s="577" t="e">
        <f>ROUND(Miles!#REF!*1.3,2)</f>
        <v>#REF!</v>
      </c>
      <c r="AD35" s="578"/>
      <c r="AE35" s="579" t="e">
        <f t="shared" si="8"/>
        <v>#REF!</v>
      </c>
      <c r="AF35" s="545"/>
      <c r="AG35" s="577" t="e">
        <f>ROUND(Miles!#REF!*1.3,2)</f>
        <v>#REF!</v>
      </c>
      <c r="AH35" s="578"/>
      <c r="AI35" s="579" t="e">
        <f t="shared" si="9"/>
        <v>#REF!</v>
      </c>
      <c r="AJ35" s="545"/>
      <c r="AK35" s="577" t="e">
        <f>ROUND(Miles!#REF!*1.3,2)</f>
        <v>#REF!</v>
      </c>
      <c r="AL35" s="578"/>
      <c r="AM35" s="579" t="e">
        <f t="shared" si="10"/>
        <v>#REF!</v>
      </c>
      <c r="AN35" s="545"/>
      <c r="AO35" s="577" t="e">
        <f>ROUND(Miles!#REF!*1.3,2)</f>
        <v>#REF!</v>
      </c>
      <c r="AP35" s="578"/>
      <c r="AQ35" s="579" t="e">
        <f t="shared" si="11"/>
        <v>#REF!</v>
      </c>
      <c r="AR35" s="545"/>
      <c r="AS35" s="577" t="e">
        <f>ROUND(Miles!#REF!*1.3,2)</f>
        <v>#REF!</v>
      </c>
      <c r="AT35" s="578"/>
      <c r="AU35" s="579" t="e">
        <f t="shared" si="12"/>
        <v>#REF!</v>
      </c>
      <c r="AV35" s="545"/>
      <c r="AW35" s="577" t="e">
        <f>ROUND(Miles!#REF!*1.3,2)</f>
        <v>#REF!</v>
      </c>
      <c r="AX35" s="578"/>
      <c r="AY35" s="579" t="e">
        <f t="shared" si="13"/>
        <v>#REF!</v>
      </c>
      <c r="AZ35" s="545"/>
      <c r="BA35" s="577" t="e">
        <f t="shared" si="14"/>
        <v>#REF!</v>
      </c>
      <c r="BB35" s="577">
        <f t="shared" si="15"/>
        <v>0</v>
      </c>
      <c r="BC35" s="579" t="e">
        <f t="shared" si="16"/>
        <v>#REF!</v>
      </c>
      <c r="BE35" s="546">
        <f t="shared" si="17"/>
        <v>0</v>
      </c>
      <c r="BG35" s="663">
        <v>0</v>
      </c>
      <c r="BH35" s="663">
        <v>0</v>
      </c>
      <c r="BI35" s="663">
        <v>0</v>
      </c>
      <c r="BK35" s="663" t="e">
        <f t="shared" si="18"/>
        <v>#REF!</v>
      </c>
      <c r="BL35" s="663">
        <f t="shared" si="1"/>
        <v>0</v>
      </c>
      <c r="BM35" s="663" t="e">
        <f t="shared" si="2"/>
        <v>#REF!</v>
      </c>
    </row>
    <row r="36" spans="2:65" ht="20.100000000000001" hidden="1" customHeight="1">
      <c r="B36" s="547" t="s">
        <v>108</v>
      </c>
      <c r="C36" s="547" t="s">
        <v>186</v>
      </c>
      <c r="D36" s="545"/>
      <c r="E36" s="577" t="e">
        <f>ROUND(Miles!#REF!*1.3,2)</f>
        <v>#REF!</v>
      </c>
      <c r="F36" s="578"/>
      <c r="G36" s="579" t="e">
        <f t="shared" si="47"/>
        <v>#REF!</v>
      </c>
      <c r="H36" s="545"/>
      <c r="I36" s="577" t="e">
        <f>ROUND(Miles!#REF!*1.3,2)</f>
        <v>#REF!</v>
      </c>
      <c r="J36" s="578"/>
      <c r="K36" s="579" t="e">
        <f t="shared" si="3"/>
        <v>#REF!</v>
      </c>
      <c r="L36" s="545"/>
      <c r="M36" s="577" t="e">
        <f>ROUND(Miles!#REF!*1.3,2)</f>
        <v>#REF!</v>
      </c>
      <c r="N36" s="578"/>
      <c r="O36" s="579" t="e">
        <f t="shared" si="4"/>
        <v>#REF!</v>
      </c>
      <c r="P36" s="545"/>
      <c r="Q36" s="577" t="e">
        <f>ROUND(Miles!#REF!*1.3,2)</f>
        <v>#REF!</v>
      </c>
      <c r="R36" s="578"/>
      <c r="S36" s="579" t="e">
        <f t="shared" si="5"/>
        <v>#REF!</v>
      </c>
      <c r="T36" s="545"/>
      <c r="U36" s="577" t="e">
        <f>ROUND(Miles!#REF!*1.3,2)</f>
        <v>#REF!</v>
      </c>
      <c r="V36" s="578"/>
      <c r="W36" s="579" t="e">
        <f t="shared" si="6"/>
        <v>#REF!</v>
      </c>
      <c r="X36" s="545"/>
      <c r="Y36" s="577" t="e">
        <f>ROUND(Miles!#REF!*1.3,2)</f>
        <v>#REF!</v>
      </c>
      <c r="Z36" s="578"/>
      <c r="AA36" s="579" t="e">
        <f t="shared" si="7"/>
        <v>#REF!</v>
      </c>
      <c r="AB36" s="545"/>
      <c r="AC36" s="577" t="e">
        <f>ROUND(Miles!#REF!*1.3,2)</f>
        <v>#REF!</v>
      </c>
      <c r="AD36" s="578"/>
      <c r="AE36" s="579" t="e">
        <f t="shared" si="8"/>
        <v>#REF!</v>
      </c>
      <c r="AF36" s="545"/>
      <c r="AG36" s="577" t="e">
        <f>ROUND(Miles!#REF!*1.3,2)</f>
        <v>#REF!</v>
      </c>
      <c r="AH36" s="578"/>
      <c r="AI36" s="579" t="e">
        <f t="shared" si="9"/>
        <v>#REF!</v>
      </c>
      <c r="AJ36" s="545"/>
      <c r="AK36" s="577" t="e">
        <f>ROUND(Miles!#REF!*1.3,2)</f>
        <v>#REF!</v>
      </c>
      <c r="AL36" s="578"/>
      <c r="AM36" s="579" t="e">
        <f t="shared" si="10"/>
        <v>#REF!</v>
      </c>
      <c r="AN36" s="545"/>
      <c r="AO36" s="577" t="e">
        <f>ROUND(Miles!#REF!*1.3,2)</f>
        <v>#REF!</v>
      </c>
      <c r="AP36" s="578"/>
      <c r="AQ36" s="579" t="e">
        <f t="shared" si="11"/>
        <v>#REF!</v>
      </c>
      <c r="AR36" s="545"/>
      <c r="AS36" s="577" t="e">
        <f>ROUND(Miles!#REF!*1.3,2)</f>
        <v>#REF!</v>
      </c>
      <c r="AT36" s="578"/>
      <c r="AU36" s="579" t="e">
        <f t="shared" si="12"/>
        <v>#REF!</v>
      </c>
      <c r="AV36" s="545"/>
      <c r="AW36" s="577" t="e">
        <f>ROUND(Miles!#REF!*1.3,2)</f>
        <v>#REF!</v>
      </c>
      <c r="AX36" s="578"/>
      <c r="AY36" s="579" t="e">
        <f t="shared" si="13"/>
        <v>#REF!</v>
      </c>
      <c r="AZ36" s="545"/>
      <c r="BA36" s="577" t="e">
        <f t="shared" si="14"/>
        <v>#REF!</v>
      </c>
      <c r="BB36" s="577">
        <f t="shared" si="15"/>
        <v>0</v>
      </c>
      <c r="BC36" s="579" t="e">
        <f t="shared" si="16"/>
        <v>#REF!</v>
      </c>
      <c r="BE36" s="546">
        <f t="shared" si="17"/>
        <v>0</v>
      </c>
      <c r="BG36" s="663">
        <v>0</v>
      </c>
      <c r="BH36" s="663">
        <v>0</v>
      </c>
      <c r="BI36" s="663">
        <v>0</v>
      </c>
      <c r="BK36" s="663" t="e">
        <f t="shared" si="18"/>
        <v>#REF!</v>
      </c>
      <c r="BL36" s="663">
        <f t="shared" si="1"/>
        <v>0</v>
      </c>
      <c r="BM36" s="663" t="e">
        <f t="shared" si="2"/>
        <v>#REF!</v>
      </c>
    </row>
    <row r="37" spans="2:65" ht="20.100000000000001" hidden="1" customHeight="1">
      <c r="B37" s="547" t="s">
        <v>121</v>
      </c>
      <c r="C37" s="547" t="s">
        <v>14</v>
      </c>
      <c r="D37" s="545"/>
      <c r="E37" s="577" t="e">
        <f>ROUND(Miles!#REF!*1.3,2)</f>
        <v>#REF!</v>
      </c>
      <c r="F37" s="578"/>
      <c r="G37" s="579" t="e">
        <f t="shared" si="47"/>
        <v>#REF!</v>
      </c>
      <c r="H37" s="545"/>
      <c r="I37" s="577" t="e">
        <f>ROUND(Miles!#REF!*1.3,2)</f>
        <v>#REF!</v>
      </c>
      <c r="J37" s="578"/>
      <c r="K37" s="579" t="e">
        <f t="shared" si="3"/>
        <v>#REF!</v>
      </c>
      <c r="L37" s="545"/>
      <c r="M37" s="577" t="e">
        <f>ROUND(Miles!#REF!*1.3,2)</f>
        <v>#REF!</v>
      </c>
      <c r="N37" s="578"/>
      <c r="O37" s="579" t="e">
        <f t="shared" si="4"/>
        <v>#REF!</v>
      </c>
      <c r="P37" s="545"/>
      <c r="Q37" s="577" t="e">
        <f>ROUND(Miles!#REF!*1.3,2)</f>
        <v>#REF!</v>
      </c>
      <c r="R37" s="578"/>
      <c r="S37" s="579" t="e">
        <f t="shared" si="5"/>
        <v>#REF!</v>
      </c>
      <c r="T37" s="545"/>
      <c r="U37" s="577" t="e">
        <f>ROUND(Miles!#REF!*1.3,2)</f>
        <v>#REF!</v>
      </c>
      <c r="V37" s="578"/>
      <c r="W37" s="579" t="e">
        <f t="shared" si="6"/>
        <v>#REF!</v>
      </c>
      <c r="X37" s="545"/>
      <c r="Y37" s="577" t="e">
        <f>ROUND(Miles!#REF!*1.3,2)</f>
        <v>#REF!</v>
      </c>
      <c r="Z37" s="578"/>
      <c r="AA37" s="579" t="e">
        <f t="shared" si="7"/>
        <v>#REF!</v>
      </c>
      <c r="AB37" s="545"/>
      <c r="AC37" s="577" t="e">
        <f>ROUND(Miles!#REF!*1.3,2)</f>
        <v>#REF!</v>
      </c>
      <c r="AD37" s="578"/>
      <c r="AE37" s="579" t="e">
        <f t="shared" si="8"/>
        <v>#REF!</v>
      </c>
      <c r="AF37" s="545"/>
      <c r="AG37" s="577" t="e">
        <f>ROUND(Miles!#REF!*1.3,2)</f>
        <v>#REF!</v>
      </c>
      <c r="AH37" s="578"/>
      <c r="AI37" s="579" t="e">
        <f t="shared" si="9"/>
        <v>#REF!</v>
      </c>
      <c r="AJ37" s="545"/>
      <c r="AK37" s="577" t="e">
        <f>ROUND(Miles!#REF!*1.3,2)</f>
        <v>#REF!</v>
      </c>
      <c r="AL37" s="578"/>
      <c r="AM37" s="579" t="e">
        <f t="shared" si="10"/>
        <v>#REF!</v>
      </c>
      <c r="AN37" s="545"/>
      <c r="AO37" s="577" t="e">
        <f>ROUND(Miles!#REF!*1.3,2)</f>
        <v>#REF!</v>
      </c>
      <c r="AP37" s="578"/>
      <c r="AQ37" s="579" t="e">
        <f t="shared" si="11"/>
        <v>#REF!</v>
      </c>
      <c r="AR37" s="545"/>
      <c r="AS37" s="577" t="e">
        <f>ROUND(Miles!#REF!*1.3,2)</f>
        <v>#REF!</v>
      </c>
      <c r="AT37" s="578"/>
      <c r="AU37" s="579" t="e">
        <f t="shared" si="12"/>
        <v>#REF!</v>
      </c>
      <c r="AV37" s="545"/>
      <c r="AW37" s="577" t="e">
        <f>ROUND(Miles!#REF!*1.3,2)</f>
        <v>#REF!</v>
      </c>
      <c r="AX37" s="578"/>
      <c r="AY37" s="579" t="e">
        <f t="shared" si="13"/>
        <v>#REF!</v>
      </c>
      <c r="AZ37" s="545"/>
      <c r="BA37" s="577" t="e">
        <f t="shared" si="14"/>
        <v>#REF!</v>
      </c>
      <c r="BB37" s="577">
        <f t="shared" si="15"/>
        <v>0</v>
      </c>
      <c r="BC37" s="579" t="e">
        <f t="shared" si="16"/>
        <v>#REF!</v>
      </c>
      <c r="BE37" s="546">
        <f t="shared" si="17"/>
        <v>0</v>
      </c>
      <c r="BG37" s="663">
        <v>0</v>
      </c>
      <c r="BH37" s="663">
        <v>0</v>
      </c>
      <c r="BI37" s="663">
        <v>0</v>
      </c>
      <c r="BK37" s="663" t="e">
        <f t="shared" si="18"/>
        <v>#REF!</v>
      </c>
      <c r="BL37" s="663">
        <f t="shared" si="1"/>
        <v>0</v>
      </c>
      <c r="BM37" s="663" t="e">
        <f t="shared" si="2"/>
        <v>#REF!</v>
      </c>
    </row>
    <row r="38" spans="2:65" ht="20.100000000000001" hidden="1" customHeight="1">
      <c r="B38" s="547" t="s">
        <v>131</v>
      </c>
      <c r="C38" s="547" t="s">
        <v>23</v>
      </c>
      <c r="D38" s="545"/>
      <c r="E38" s="577">
        <f>ROUND(Miles!C23*1.3,2)</f>
        <v>0</v>
      </c>
      <c r="F38" s="578"/>
      <c r="G38" s="579">
        <f t="shared" si="47"/>
        <v>0</v>
      </c>
      <c r="H38" s="545"/>
      <c r="I38" s="577">
        <f>ROUND(Miles!D23*1.3,2)</f>
        <v>0</v>
      </c>
      <c r="J38" s="578"/>
      <c r="K38" s="579">
        <f t="shared" si="3"/>
        <v>0</v>
      </c>
      <c r="L38" s="545"/>
      <c r="M38" s="577">
        <f>ROUND(Miles!E23*1.3,2)</f>
        <v>0</v>
      </c>
      <c r="N38" s="578"/>
      <c r="O38" s="579">
        <f t="shared" si="4"/>
        <v>0</v>
      </c>
      <c r="P38" s="545"/>
      <c r="Q38" s="577">
        <f>ROUND(Miles!F23*1.3,2)</f>
        <v>0</v>
      </c>
      <c r="R38" s="578"/>
      <c r="S38" s="579">
        <f t="shared" si="5"/>
        <v>0</v>
      </c>
      <c r="T38" s="545"/>
      <c r="U38" s="577">
        <f>ROUND(Miles!G23*1.3,2)</f>
        <v>0</v>
      </c>
      <c r="V38" s="578"/>
      <c r="W38" s="579">
        <f t="shared" si="6"/>
        <v>0</v>
      </c>
      <c r="X38" s="545"/>
      <c r="Y38" s="577">
        <f>ROUND(Miles!H23*1.3,2)</f>
        <v>0</v>
      </c>
      <c r="Z38" s="578"/>
      <c r="AA38" s="579">
        <f t="shared" si="7"/>
        <v>0</v>
      </c>
      <c r="AB38" s="545"/>
      <c r="AC38" s="577">
        <f>ROUND(Miles!I23*1.3,2)</f>
        <v>0</v>
      </c>
      <c r="AD38" s="578"/>
      <c r="AE38" s="579">
        <f t="shared" si="8"/>
        <v>0</v>
      </c>
      <c r="AF38" s="545"/>
      <c r="AG38" s="577">
        <f>ROUND(Miles!J23*1.3,2)</f>
        <v>0</v>
      </c>
      <c r="AH38" s="578"/>
      <c r="AI38" s="579">
        <f t="shared" si="9"/>
        <v>0</v>
      </c>
      <c r="AJ38" s="545"/>
      <c r="AK38" s="577">
        <f>ROUND(Miles!K23*1.3,2)</f>
        <v>0</v>
      </c>
      <c r="AL38" s="578"/>
      <c r="AM38" s="579">
        <f t="shared" si="10"/>
        <v>0</v>
      </c>
      <c r="AN38" s="545"/>
      <c r="AO38" s="577">
        <f>ROUND(Miles!L23*1.3,2)</f>
        <v>0</v>
      </c>
      <c r="AP38" s="578"/>
      <c r="AQ38" s="579">
        <f t="shared" si="11"/>
        <v>0</v>
      </c>
      <c r="AR38" s="545"/>
      <c r="AS38" s="577">
        <f>ROUND(Miles!M23*1.3,2)</f>
        <v>0</v>
      </c>
      <c r="AT38" s="578"/>
      <c r="AU38" s="579">
        <f t="shared" si="12"/>
        <v>0</v>
      </c>
      <c r="AV38" s="545"/>
      <c r="AW38" s="577">
        <f>ROUND(Miles!N23*1.3,2)</f>
        <v>0</v>
      </c>
      <c r="AX38" s="578"/>
      <c r="AY38" s="579">
        <f t="shared" si="13"/>
        <v>0</v>
      </c>
      <c r="AZ38" s="545"/>
      <c r="BA38" s="577">
        <f t="shared" si="14"/>
        <v>0</v>
      </c>
      <c r="BB38" s="577">
        <f t="shared" si="15"/>
        <v>0</v>
      </c>
      <c r="BC38" s="579">
        <f t="shared" si="16"/>
        <v>0</v>
      </c>
      <c r="BE38" s="546">
        <f t="shared" si="17"/>
        <v>0</v>
      </c>
      <c r="BG38" s="663">
        <v>0</v>
      </c>
      <c r="BH38" s="663">
        <v>0</v>
      </c>
      <c r="BI38" s="663">
        <v>0</v>
      </c>
      <c r="BK38" s="663">
        <f t="shared" si="18"/>
        <v>0</v>
      </c>
      <c r="BL38" s="663">
        <f t="shared" si="1"/>
        <v>0</v>
      </c>
      <c r="BM38" s="663">
        <f t="shared" si="2"/>
        <v>0</v>
      </c>
    </row>
    <row r="39" spans="2:65" ht="20.100000000000001" customHeight="1">
      <c r="B39" s="547" t="s">
        <v>107</v>
      </c>
      <c r="C39" s="547" t="s">
        <v>14</v>
      </c>
      <c r="D39" s="545"/>
      <c r="E39" s="577">
        <f>ROUND(Miles!C24*1.3,2)</f>
        <v>225.07</v>
      </c>
      <c r="F39" s="578"/>
      <c r="G39" s="579">
        <f t="shared" si="47"/>
        <v>225.07</v>
      </c>
      <c r="H39" s="545"/>
      <c r="I39" s="577">
        <f>ROUND(Miles!D24*1.3,2)</f>
        <v>24.86</v>
      </c>
      <c r="J39" s="578"/>
      <c r="K39" s="579">
        <f t="shared" si="3"/>
        <v>24.86</v>
      </c>
      <c r="L39" s="545"/>
      <c r="M39" s="577">
        <f>ROUND(Miles!E24*1.3,2)</f>
        <v>0</v>
      </c>
      <c r="N39" s="578"/>
      <c r="O39" s="579">
        <f t="shared" si="4"/>
        <v>0</v>
      </c>
      <c r="P39" s="545"/>
      <c r="Q39" s="577">
        <f>ROUND(Miles!F24*1.3,2)</f>
        <v>80.39</v>
      </c>
      <c r="R39" s="578"/>
      <c r="S39" s="579">
        <f t="shared" si="5"/>
        <v>80.39</v>
      </c>
      <c r="T39" s="545"/>
      <c r="U39" s="577">
        <f>ROUND(Miles!G24*1.3,2)</f>
        <v>107.17</v>
      </c>
      <c r="V39" s="578"/>
      <c r="W39" s="579">
        <f t="shared" si="6"/>
        <v>107.17</v>
      </c>
      <c r="X39" s="545"/>
      <c r="Y39" s="577">
        <f>ROUND(Miles!H24*1.3,2)</f>
        <v>89.88</v>
      </c>
      <c r="Z39" s="578"/>
      <c r="AA39" s="579">
        <f t="shared" si="7"/>
        <v>89.88</v>
      </c>
      <c r="AB39" s="545"/>
      <c r="AC39" s="577">
        <f>ROUND(Miles!I24*1.3,2)</f>
        <v>0</v>
      </c>
      <c r="AD39" s="578"/>
      <c r="AE39" s="579">
        <f t="shared" si="8"/>
        <v>0</v>
      </c>
      <c r="AF39" s="545"/>
      <c r="AG39" s="577">
        <f>ROUND(Miles!J24*1.3,2)</f>
        <v>0</v>
      </c>
      <c r="AH39" s="578"/>
      <c r="AI39" s="579">
        <f t="shared" si="9"/>
        <v>0</v>
      </c>
      <c r="AJ39" s="545"/>
      <c r="AK39" s="577">
        <f>ROUND(Miles!K24*1.3,2)</f>
        <v>0</v>
      </c>
      <c r="AL39" s="578"/>
      <c r="AM39" s="579">
        <f t="shared" si="10"/>
        <v>0</v>
      </c>
      <c r="AN39" s="545"/>
      <c r="AO39" s="577">
        <f>ROUND(Miles!L24*1.3,2)</f>
        <v>0</v>
      </c>
      <c r="AP39" s="578"/>
      <c r="AQ39" s="579">
        <f t="shared" si="11"/>
        <v>0</v>
      </c>
      <c r="AR39" s="545"/>
      <c r="AS39" s="577">
        <f>ROUND(Miles!M24*1.3,2)</f>
        <v>0</v>
      </c>
      <c r="AT39" s="578"/>
      <c r="AU39" s="579">
        <f t="shared" si="12"/>
        <v>0</v>
      </c>
      <c r="AV39" s="545"/>
      <c r="AW39" s="577">
        <f>ROUND(Miles!N24*1.3,2)</f>
        <v>0</v>
      </c>
      <c r="AX39" s="578"/>
      <c r="AY39" s="579">
        <f t="shared" si="13"/>
        <v>0</v>
      </c>
      <c r="AZ39" s="545"/>
      <c r="BA39" s="577">
        <f t="shared" si="14"/>
        <v>527.37</v>
      </c>
      <c r="BB39" s="577">
        <f t="shared" si="15"/>
        <v>0</v>
      </c>
      <c r="BC39" s="579">
        <f t="shared" si="16"/>
        <v>527.37</v>
      </c>
      <c r="BE39" s="546">
        <f t="shared" si="17"/>
        <v>0</v>
      </c>
      <c r="BG39" s="663">
        <v>3263.5699999999997</v>
      </c>
      <c r="BH39" s="663">
        <v>0</v>
      </c>
      <c r="BI39" s="663">
        <v>3263.5699999999997</v>
      </c>
      <c r="BK39" s="663">
        <f t="shared" si="18"/>
        <v>-2736.2</v>
      </c>
      <c r="BL39" s="663">
        <f t="shared" si="1"/>
        <v>0</v>
      </c>
      <c r="BM39" s="663">
        <f t="shared" si="2"/>
        <v>-2736.2</v>
      </c>
    </row>
    <row r="40" spans="2:65" ht="20.100000000000001" customHeight="1">
      <c r="B40" s="547" t="s">
        <v>259</v>
      </c>
      <c r="C40" s="547" t="s">
        <v>14</v>
      </c>
      <c r="D40" s="545"/>
      <c r="E40" s="577">
        <f>ROUND(Miles!C25*1.3,2)</f>
        <v>2038.71</v>
      </c>
      <c r="F40" s="578"/>
      <c r="G40" s="579">
        <f t="shared" ref="G40" si="53">E40+F40</f>
        <v>2038.71</v>
      </c>
      <c r="H40" s="545"/>
      <c r="I40" s="577">
        <f>ROUND(Miles!D25*1.3,2)</f>
        <v>1916.29</v>
      </c>
      <c r="J40" s="578"/>
      <c r="K40" s="579">
        <f t="shared" ref="K40" si="54">I40+J40</f>
        <v>1916.29</v>
      </c>
      <c r="L40" s="545"/>
      <c r="M40" s="577">
        <f>ROUND(Miles!E25*1.3,2)</f>
        <v>1591.02</v>
      </c>
      <c r="N40" s="578"/>
      <c r="O40" s="579">
        <f t="shared" ref="O40" si="55">M40+N40</f>
        <v>1591.02</v>
      </c>
      <c r="P40" s="545"/>
      <c r="Q40" s="577">
        <f>ROUND(Miles!F25*1.3,2)</f>
        <v>1839.45</v>
      </c>
      <c r="R40" s="578"/>
      <c r="S40" s="579">
        <f t="shared" ref="S40" si="56">Q40+R40</f>
        <v>1839.45</v>
      </c>
      <c r="T40" s="545"/>
      <c r="U40" s="577">
        <f>ROUND(Miles!G25*1.3,2)</f>
        <v>1624.97</v>
      </c>
      <c r="V40" s="578"/>
      <c r="W40" s="579">
        <f t="shared" ref="W40" si="57">U40+V40</f>
        <v>1624.97</v>
      </c>
      <c r="X40" s="545"/>
      <c r="Y40" s="577">
        <f>ROUND(Miles!H25*1.3,2)</f>
        <v>2155.92</v>
      </c>
      <c r="Z40" s="578"/>
      <c r="AA40" s="579">
        <f t="shared" ref="AA40" si="58">Y40+Z40</f>
        <v>2155.92</v>
      </c>
      <c r="AB40" s="545"/>
      <c r="AC40" s="577">
        <f>ROUND(Miles!I25*1.3,2)</f>
        <v>0</v>
      </c>
      <c r="AD40" s="578"/>
      <c r="AE40" s="579">
        <f t="shared" ref="AE40" si="59">AC40+AD40</f>
        <v>0</v>
      </c>
      <c r="AF40" s="545"/>
      <c r="AG40" s="577">
        <f>ROUND(Miles!J25*1.3,2)</f>
        <v>0</v>
      </c>
      <c r="AH40" s="578"/>
      <c r="AI40" s="579">
        <f t="shared" ref="AI40" si="60">AG40+AH40</f>
        <v>0</v>
      </c>
      <c r="AJ40" s="545"/>
      <c r="AK40" s="577">
        <f>ROUND(Miles!K25*1.3,2)</f>
        <v>0</v>
      </c>
      <c r="AL40" s="578"/>
      <c r="AM40" s="579">
        <f t="shared" ref="AM40" si="61">AK40+AL40</f>
        <v>0</v>
      </c>
      <c r="AN40" s="545"/>
      <c r="AO40" s="577">
        <f>ROUND(Miles!L25*1.3,2)</f>
        <v>0</v>
      </c>
      <c r="AP40" s="578"/>
      <c r="AQ40" s="579">
        <f t="shared" ref="AQ40" si="62">AO40+AP40</f>
        <v>0</v>
      </c>
      <c r="AR40" s="545"/>
      <c r="AS40" s="577">
        <f>ROUND(Miles!M25*1.3,2)</f>
        <v>0</v>
      </c>
      <c r="AT40" s="578"/>
      <c r="AU40" s="579">
        <f t="shared" ref="AU40" si="63">AS40+AT40</f>
        <v>0</v>
      </c>
      <c r="AV40" s="545"/>
      <c r="AW40" s="577">
        <f>ROUND(Miles!N25*1.3,2)</f>
        <v>0</v>
      </c>
      <c r="AX40" s="578"/>
      <c r="AY40" s="579">
        <f t="shared" ref="AY40" si="64">AW40+AX40</f>
        <v>0</v>
      </c>
      <c r="AZ40" s="545"/>
      <c r="BA40" s="577">
        <f t="shared" ref="BA40" si="65">E40+I40+M40+Q40+U40+Y40+AC40+AG40+AK40+AO40+AS40+AW40</f>
        <v>11166.36</v>
      </c>
      <c r="BB40" s="577">
        <f t="shared" ref="BB40" si="66">F40+J40+N40+R40+V40+Z40+AD40+AH40+AL40+AP40+AT40+AX40</f>
        <v>0</v>
      </c>
      <c r="BC40" s="579">
        <f t="shared" ref="BC40" si="67">G40+K40+O40+S40+W40+AA40+AE40+AI40+AM40+AQ40+AU40+AY40</f>
        <v>11166.36</v>
      </c>
      <c r="BE40" s="546">
        <f t="shared" si="17"/>
        <v>0</v>
      </c>
      <c r="BG40" s="663">
        <v>14716.26</v>
      </c>
      <c r="BH40" s="663">
        <v>0</v>
      </c>
      <c r="BI40" s="663">
        <v>14716.26</v>
      </c>
      <c r="BK40" s="663">
        <f t="shared" si="18"/>
        <v>-3549.8999999999996</v>
      </c>
      <c r="BL40" s="663">
        <f t="shared" si="1"/>
        <v>0</v>
      </c>
      <c r="BM40" s="663">
        <f t="shared" si="2"/>
        <v>-3549.8999999999996</v>
      </c>
    </row>
    <row r="41" spans="2:65" ht="20.100000000000001" hidden="1" customHeight="1">
      <c r="B41" s="547" t="s">
        <v>31</v>
      </c>
      <c r="C41" s="547" t="s">
        <v>23</v>
      </c>
      <c r="D41" s="545"/>
      <c r="E41" s="577">
        <f>ROUND(Miles!C26*1.3,2)</f>
        <v>0</v>
      </c>
      <c r="F41" s="578"/>
      <c r="G41" s="579">
        <f t="shared" si="47"/>
        <v>0</v>
      </c>
      <c r="H41" s="545"/>
      <c r="I41" s="577">
        <f>ROUND(Miles!D26*1.3,2)</f>
        <v>0</v>
      </c>
      <c r="J41" s="578"/>
      <c r="K41" s="579">
        <f t="shared" si="3"/>
        <v>0</v>
      </c>
      <c r="L41" s="545"/>
      <c r="M41" s="577">
        <f>ROUND(Miles!E26*1.3,2)</f>
        <v>0</v>
      </c>
      <c r="N41" s="578"/>
      <c r="O41" s="579">
        <f t="shared" si="4"/>
        <v>0</v>
      </c>
      <c r="P41" s="545"/>
      <c r="Q41" s="577">
        <f>ROUND(Miles!F26*1.3,2)</f>
        <v>0</v>
      </c>
      <c r="R41" s="578"/>
      <c r="S41" s="579">
        <f t="shared" si="5"/>
        <v>0</v>
      </c>
      <c r="T41" s="545"/>
      <c r="U41" s="577">
        <f>ROUND(Miles!G26*1.3,2)</f>
        <v>0</v>
      </c>
      <c r="V41" s="578"/>
      <c r="W41" s="579">
        <f t="shared" si="6"/>
        <v>0</v>
      </c>
      <c r="X41" s="545"/>
      <c r="Y41" s="577">
        <f>ROUND(Miles!H26*1.3,2)</f>
        <v>0</v>
      </c>
      <c r="Z41" s="578"/>
      <c r="AA41" s="579">
        <f t="shared" si="7"/>
        <v>0</v>
      </c>
      <c r="AB41" s="545"/>
      <c r="AC41" s="577">
        <f>ROUND(Miles!I26*1.3,2)</f>
        <v>0</v>
      </c>
      <c r="AD41" s="578"/>
      <c r="AE41" s="579">
        <f t="shared" si="8"/>
        <v>0</v>
      </c>
      <c r="AF41" s="545"/>
      <c r="AG41" s="577">
        <f>ROUND(Miles!J26*1.3,2)</f>
        <v>0</v>
      </c>
      <c r="AH41" s="578"/>
      <c r="AI41" s="579">
        <f t="shared" si="9"/>
        <v>0</v>
      </c>
      <c r="AJ41" s="545"/>
      <c r="AK41" s="577">
        <f>ROUND(Miles!K26*1.3,2)</f>
        <v>0</v>
      </c>
      <c r="AL41" s="578"/>
      <c r="AM41" s="579">
        <f t="shared" si="10"/>
        <v>0</v>
      </c>
      <c r="AN41" s="545"/>
      <c r="AO41" s="577">
        <f>ROUND(Miles!L26*1.3,2)</f>
        <v>0</v>
      </c>
      <c r="AP41" s="578"/>
      <c r="AQ41" s="579">
        <f t="shared" si="11"/>
        <v>0</v>
      </c>
      <c r="AR41" s="545"/>
      <c r="AS41" s="577">
        <f>ROUND(Miles!M26*1.3,2)</f>
        <v>0</v>
      </c>
      <c r="AT41" s="578"/>
      <c r="AU41" s="579">
        <f t="shared" si="12"/>
        <v>0</v>
      </c>
      <c r="AV41" s="545"/>
      <c r="AW41" s="577">
        <f>ROUND(Miles!N26*1.3,2)</f>
        <v>0</v>
      </c>
      <c r="AX41" s="578"/>
      <c r="AY41" s="579">
        <f t="shared" si="13"/>
        <v>0</v>
      </c>
      <c r="AZ41" s="545"/>
      <c r="BA41" s="577">
        <f t="shared" si="14"/>
        <v>0</v>
      </c>
      <c r="BB41" s="577">
        <f t="shared" si="15"/>
        <v>0</v>
      </c>
      <c r="BC41" s="579">
        <f t="shared" si="16"/>
        <v>0</v>
      </c>
      <c r="BE41" s="546">
        <f t="shared" si="17"/>
        <v>0</v>
      </c>
      <c r="BG41" s="663">
        <v>191.84</v>
      </c>
      <c r="BH41" s="663">
        <v>0</v>
      </c>
      <c r="BI41" s="663">
        <v>191.84</v>
      </c>
      <c r="BK41" s="663">
        <f t="shared" si="18"/>
        <v>-191.84</v>
      </c>
      <c r="BL41" s="663">
        <f t="shared" si="1"/>
        <v>0</v>
      </c>
      <c r="BM41" s="663">
        <f t="shared" si="2"/>
        <v>-191.84</v>
      </c>
    </row>
    <row r="42" spans="2:65" ht="20.100000000000001" hidden="1" customHeight="1">
      <c r="B42" s="548" t="s">
        <v>181</v>
      </c>
      <c r="C42" s="548" t="s">
        <v>14</v>
      </c>
      <c r="D42" s="545"/>
      <c r="E42" s="577" t="e">
        <f>ROUND(Miles!#REF!*1.3,2)</f>
        <v>#REF!</v>
      </c>
      <c r="F42" s="578"/>
      <c r="G42" s="579" t="e">
        <f t="shared" si="47"/>
        <v>#REF!</v>
      </c>
      <c r="H42" s="545"/>
      <c r="I42" s="577" t="e">
        <f>ROUND(Miles!#REF!*1.3,2)</f>
        <v>#REF!</v>
      </c>
      <c r="J42" s="578"/>
      <c r="K42" s="579" t="e">
        <f t="shared" si="3"/>
        <v>#REF!</v>
      </c>
      <c r="L42" s="545"/>
      <c r="M42" s="577" t="e">
        <f>ROUND(Miles!#REF!*1.3,2)</f>
        <v>#REF!</v>
      </c>
      <c r="N42" s="578"/>
      <c r="O42" s="579" t="e">
        <f t="shared" si="4"/>
        <v>#REF!</v>
      </c>
      <c r="P42" s="545"/>
      <c r="Q42" s="577" t="e">
        <f>ROUND(Miles!#REF!*1.3,2)</f>
        <v>#REF!</v>
      </c>
      <c r="R42" s="578"/>
      <c r="S42" s="579" t="e">
        <f t="shared" si="5"/>
        <v>#REF!</v>
      </c>
      <c r="T42" s="545"/>
      <c r="U42" s="577" t="e">
        <f>ROUND(Miles!#REF!*1.3,2)</f>
        <v>#REF!</v>
      </c>
      <c r="V42" s="578"/>
      <c r="W42" s="579" t="e">
        <f t="shared" si="6"/>
        <v>#REF!</v>
      </c>
      <c r="X42" s="545"/>
      <c r="Y42" s="577" t="e">
        <f>ROUND(Miles!#REF!*1.3,2)</f>
        <v>#REF!</v>
      </c>
      <c r="Z42" s="578"/>
      <c r="AA42" s="579" t="e">
        <f t="shared" si="7"/>
        <v>#REF!</v>
      </c>
      <c r="AB42" s="545"/>
      <c r="AC42" s="577" t="e">
        <f>ROUND(Miles!#REF!*1.3,2)</f>
        <v>#REF!</v>
      </c>
      <c r="AD42" s="578"/>
      <c r="AE42" s="579" t="e">
        <f t="shared" si="8"/>
        <v>#REF!</v>
      </c>
      <c r="AF42" s="545"/>
      <c r="AG42" s="577" t="e">
        <f>ROUND(Miles!#REF!*1.3,2)</f>
        <v>#REF!</v>
      </c>
      <c r="AH42" s="578"/>
      <c r="AI42" s="579" t="e">
        <f t="shared" si="9"/>
        <v>#REF!</v>
      </c>
      <c r="AJ42" s="545"/>
      <c r="AK42" s="577" t="e">
        <f>ROUND(Miles!#REF!*1.3,2)</f>
        <v>#REF!</v>
      </c>
      <c r="AL42" s="578"/>
      <c r="AM42" s="579" t="e">
        <f t="shared" si="10"/>
        <v>#REF!</v>
      </c>
      <c r="AN42" s="545"/>
      <c r="AO42" s="577" t="e">
        <f>ROUND(Miles!#REF!*1.3,2)</f>
        <v>#REF!</v>
      </c>
      <c r="AP42" s="578"/>
      <c r="AQ42" s="579" t="e">
        <f t="shared" si="11"/>
        <v>#REF!</v>
      </c>
      <c r="AR42" s="545"/>
      <c r="AS42" s="577" t="e">
        <f>ROUND(Miles!#REF!*1.3,2)</f>
        <v>#REF!</v>
      </c>
      <c r="AT42" s="578"/>
      <c r="AU42" s="579" t="e">
        <f t="shared" si="12"/>
        <v>#REF!</v>
      </c>
      <c r="AV42" s="545"/>
      <c r="AW42" s="577" t="e">
        <f>ROUND(Miles!#REF!*1.3,2)</f>
        <v>#REF!</v>
      </c>
      <c r="AX42" s="578"/>
      <c r="AY42" s="579" t="e">
        <f t="shared" si="13"/>
        <v>#REF!</v>
      </c>
      <c r="AZ42" s="545"/>
      <c r="BA42" s="577" t="e">
        <f t="shared" si="14"/>
        <v>#REF!</v>
      </c>
      <c r="BB42" s="577">
        <f t="shared" si="15"/>
        <v>0</v>
      </c>
      <c r="BC42" s="579" t="e">
        <f t="shared" si="16"/>
        <v>#REF!</v>
      </c>
      <c r="BE42" s="546">
        <f t="shared" si="17"/>
        <v>0</v>
      </c>
      <c r="BG42" s="663">
        <v>0</v>
      </c>
      <c r="BH42" s="663">
        <v>0</v>
      </c>
      <c r="BI42" s="663">
        <v>0</v>
      </c>
      <c r="BK42" s="663" t="e">
        <f t="shared" si="18"/>
        <v>#REF!</v>
      </c>
      <c r="BL42" s="663">
        <f t="shared" si="1"/>
        <v>0</v>
      </c>
      <c r="BM42" s="663" t="e">
        <f t="shared" si="2"/>
        <v>#REF!</v>
      </c>
    </row>
    <row r="43" spans="2:65" ht="20.100000000000001" customHeight="1">
      <c r="B43" s="547" t="s">
        <v>120</v>
      </c>
      <c r="C43" s="547" t="s">
        <v>328</v>
      </c>
      <c r="D43" s="545"/>
      <c r="E43" s="577">
        <f>ROUND(Miles!C27*1.3,2)</f>
        <v>475.64</v>
      </c>
      <c r="F43" s="578"/>
      <c r="G43" s="579">
        <f t="shared" si="47"/>
        <v>475.64</v>
      </c>
      <c r="H43" s="545"/>
      <c r="I43" s="577">
        <f>ROUND(Miles!D27*1.3,2)</f>
        <v>1126.72</v>
      </c>
      <c r="J43" s="578"/>
      <c r="K43" s="579">
        <f t="shared" si="3"/>
        <v>1126.72</v>
      </c>
      <c r="L43" s="545"/>
      <c r="M43" s="577">
        <f>ROUND(Miles!E27*1.3,2)</f>
        <v>478.24</v>
      </c>
      <c r="N43" s="578"/>
      <c r="O43" s="579">
        <f t="shared" si="4"/>
        <v>478.24</v>
      </c>
      <c r="P43" s="545"/>
      <c r="Q43" s="577">
        <f>ROUND(Miles!F27*1.3,2)</f>
        <v>1098.1400000000001</v>
      </c>
      <c r="R43" s="578"/>
      <c r="S43" s="579">
        <f t="shared" si="5"/>
        <v>1098.1400000000001</v>
      </c>
      <c r="T43" s="545"/>
      <c r="U43" s="577">
        <f>ROUND(Miles!G27*1.3,2)</f>
        <v>542.05999999999995</v>
      </c>
      <c r="V43" s="578"/>
      <c r="W43" s="579">
        <f t="shared" si="6"/>
        <v>542.05999999999995</v>
      </c>
      <c r="X43" s="545"/>
      <c r="Y43" s="577">
        <f>ROUND(Miles!H27*1.3,2)</f>
        <v>457.02</v>
      </c>
      <c r="Z43" s="578"/>
      <c r="AA43" s="579">
        <f t="shared" si="7"/>
        <v>457.02</v>
      </c>
      <c r="AB43" s="545"/>
      <c r="AC43" s="577">
        <f>ROUND(Miles!I27*1.3,2)</f>
        <v>0</v>
      </c>
      <c r="AD43" s="578"/>
      <c r="AE43" s="579">
        <f t="shared" si="8"/>
        <v>0</v>
      </c>
      <c r="AF43" s="545"/>
      <c r="AG43" s="577">
        <f>ROUND(Miles!J27*1.3,2)</f>
        <v>0</v>
      </c>
      <c r="AH43" s="578"/>
      <c r="AI43" s="579">
        <f t="shared" si="9"/>
        <v>0</v>
      </c>
      <c r="AJ43" s="545"/>
      <c r="AK43" s="577">
        <f>ROUND(Miles!K27*1.3,2)</f>
        <v>0</v>
      </c>
      <c r="AL43" s="578"/>
      <c r="AM43" s="579">
        <f t="shared" si="10"/>
        <v>0</v>
      </c>
      <c r="AN43" s="545"/>
      <c r="AO43" s="577">
        <f>ROUND(Miles!L27*1.3,2)</f>
        <v>0</v>
      </c>
      <c r="AP43" s="578"/>
      <c r="AQ43" s="579">
        <f t="shared" si="11"/>
        <v>0</v>
      </c>
      <c r="AR43" s="545"/>
      <c r="AS43" s="577">
        <f>ROUND(Miles!M27*1.3,2)</f>
        <v>0</v>
      </c>
      <c r="AT43" s="578"/>
      <c r="AU43" s="579">
        <f t="shared" si="12"/>
        <v>0</v>
      </c>
      <c r="AV43" s="545"/>
      <c r="AW43" s="577">
        <f>ROUND(Miles!N27*1.3,2)</f>
        <v>0</v>
      </c>
      <c r="AX43" s="578"/>
      <c r="AY43" s="579">
        <f t="shared" si="13"/>
        <v>0</v>
      </c>
      <c r="AZ43" s="545"/>
      <c r="BA43" s="577">
        <f t="shared" si="14"/>
        <v>4177.8200000000006</v>
      </c>
      <c r="BB43" s="577">
        <f t="shared" si="15"/>
        <v>0</v>
      </c>
      <c r="BC43" s="579">
        <f t="shared" si="16"/>
        <v>4177.8200000000006</v>
      </c>
      <c r="BE43" s="546">
        <f t="shared" si="17"/>
        <v>0</v>
      </c>
      <c r="BG43" s="663">
        <v>6371.65</v>
      </c>
      <c r="BH43" s="663">
        <v>0</v>
      </c>
      <c r="BI43" s="663">
        <v>6371.65</v>
      </c>
      <c r="BK43" s="663">
        <f t="shared" si="18"/>
        <v>-2193.829999999999</v>
      </c>
      <c r="BL43" s="663">
        <f t="shared" si="1"/>
        <v>0</v>
      </c>
      <c r="BM43" s="663">
        <f t="shared" si="2"/>
        <v>-2193.829999999999</v>
      </c>
    </row>
    <row r="44" spans="2:65" ht="20.100000000000001" hidden="1" customHeight="1">
      <c r="B44" s="549"/>
      <c r="C44" s="549"/>
      <c r="D44" s="545"/>
      <c r="E44" s="577" t="e">
        <f>ROUND(Miles!#REF!*1.3,2)</f>
        <v>#REF!</v>
      </c>
      <c r="F44" s="578"/>
      <c r="G44" s="579" t="e">
        <f t="shared" si="47"/>
        <v>#REF!</v>
      </c>
      <c r="H44" s="545"/>
      <c r="I44" s="577" t="e">
        <f>ROUND(Miles!#REF!*1.3,2)</f>
        <v>#REF!</v>
      </c>
      <c r="J44" s="578"/>
      <c r="K44" s="579" t="e">
        <f t="shared" si="3"/>
        <v>#REF!</v>
      </c>
      <c r="L44" s="545"/>
      <c r="M44" s="577" t="e">
        <f>ROUND(Miles!#REF!*1.3,2)</f>
        <v>#REF!</v>
      </c>
      <c r="N44" s="578"/>
      <c r="O44" s="579" t="e">
        <f t="shared" si="4"/>
        <v>#REF!</v>
      </c>
      <c r="P44" s="545"/>
      <c r="Q44" s="577" t="e">
        <f>ROUND(Miles!#REF!*1.3,2)</f>
        <v>#REF!</v>
      </c>
      <c r="R44" s="578"/>
      <c r="S44" s="579" t="e">
        <f t="shared" si="5"/>
        <v>#REF!</v>
      </c>
      <c r="T44" s="545"/>
      <c r="U44" s="577" t="e">
        <f>ROUND(Miles!#REF!*1.3,2)</f>
        <v>#REF!</v>
      </c>
      <c r="V44" s="578"/>
      <c r="W44" s="579" t="e">
        <f t="shared" si="6"/>
        <v>#REF!</v>
      </c>
      <c r="X44" s="545"/>
      <c r="Y44" s="577" t="e">
        <f>ROUND(Miles!#REF!*1.3,2)</f>
        <v>#REF!</v>
      </c>
      <c r="Z44" s="578"/>
      <c r="AA44" s="579" t="e">
        <f t="shared" si="7"/>
        <v>#REF!</v>
      </c>
      <c r="AB44" s="545"/>
      <c r="AC44" s="577" t="e">
        <f>ROUND(Miles!#REF!*1.3,2)</f>
        <v>#REF!</v>
      </c>
      <c r="AD44" s="578"/>
      <c r="AE44" s="579" t="e">
        <f t="shared" si="8"/>
        <v>#REF!</v>
      </c>
      <c r="AF44" s="545"/>
      <c r="AG44" s="577" t="e">
        <f>ROUND(Miles!#REF!*1.3,2)</f>
        <v>#REF!</v>
      </c>
      <c r="AH44" s="578"/>
      <c r="AI44" s="579" t="e">
        <f t="shared" si="9"/>
        <v>#REF!</v>
      </c>
      <c r="AJ44" s="545"/>
      <c r="AK44" s="577" t="e">
        <f>ROUND(Miles!#REF!*1.3,2)</f>
        <v>#REF!</v>
      </c>
      <c r="AL44" s="578"/>
      <c r="AM44" s="579" t="e">
        <f t="shared" si="10"/>
        <v>#REF!</v>
      </c>
      <c r="AN44" s="545"/>
      <c r="AO44" s="577" t="e">
        <f>ROUND(Miles!#REF!*1.3,2)</f>
        <v>#REF!</v>
      </c>
      <c r="AP44" s="578"/>
      <c r="AQ44" s="579" t="e">
        <f t="shared" si="11"/>
        <v>#REF!</v>
      </c>
      <c r="AR44" s="545"/>
      <c r="AS44" s="577" t="e">
        <f>ROUND(Miles!#REF!*1.3,2)</f>
        <v>#REF!</v>
      </c>
      <c r="AT44" s="578"/>
      <c r="AU44" s="579" t="e">
        <f t="shared" si="12"/>
        <v>#REF!</v>
      </c>
      <c r="AV44" s="545"/>
      <c r="AW44" s="577" t="e">
        <f>ROUND(Miles!#REF!*1.3,2)</f>
        <v>#REF!</v>
      </c>
      <c r="AX44" s="578"/>
      <c r="AY44" s="579" t="e">
        <f t="shared" si="13"/>
        <v>#REF!</v>
      </c>
      <c r="AZ44" s="545"/>
      <c r="BA44" s="577" t="e">
        <f t="shared" si="14"/>
        <v>#REF!</v>
      </c>
      <c r="BB44" s="577">
        <f t="shared" si="15"/>
        <v>0</v>
      </c>
      <c r="BC44" s="579" t="e">
        <f t="shared" si="16"/>
        <v>#REF!</v>
      </c>
      <c r="BE44" s="582" t="e">
        <f t="shared" ref="BE44:BE51" si="68">BB44/$CV$54</f>
        <v>#DIV/0!</v>
      </c>
      <c r="BG44" s="577">
        <v>0</v>
      </c>
      <c r="BH44" s="577">
        <v>0</v>
      </c>
      <c r="BI44" s="579">
        <v>0</v>
      </c>
      <c r="BK44" s="577" t="e">
        <f t="shared" ref="BK44:BK51" si="69">O44+S44+W44+AA44+AE44+AI44+AM44+AQ44+AU44+AY44+BC44+BG44</f>
        <v>#REF!</v>
      </c>
      <c r="BL44" s="577">
        <f t="shared" ref="BL44:BL51" si="70">P44+T44+X44+AB44+AF44+AJ44+AN44+AR44+AV44+AZ44+BD44+BH44</f>
        <v>0</v>
      </c>
      <c r="BM44" s="579" t="e">
        <f t="shared" ref="BM44:BM51" si="71">Q44+U44+Y44+AC44+AG44+AK44+AO44+AS44+AW44+BA44+BE44+BI44</f>
        <v>#REF!</v>
      </c>
    </row>
    <row r="45" spans="2:65" ht="20.100000000000001" hidden="1" customHeight="1">
      <c r="B45" s="548"/>
      <c r="C45" s="549"/>
      <c r="D45" s="545"/>
      <c r="E45" s="577" t="e">
        <f>ROUND(Miles!#REF!*1.3,2)</f>
        <v>#REF!</v>
      </c>
      <c r="F45" s="578"/>
      <c r="G45" s="579" t="e">
        <f t="shared" si="47"/>
        <v>#REF!</v>
      </c>
      <c r="H45" s="545"/>
      <c r="I45" s="577" t="e">
        <f>ROUND(Miles!#REF!*1.3,2)</f>
        <v>#REF!</v>
      </c>
      <c r="J45" s="578"/>
      <c r="K45" s="579" t="e">
        <f t="shared" si="3"/>
        <v>#REF!</v>
      </c>
      <c r="L45" s="545"/>
      <c r="M45" s="577" t="e">
        <f>ROUND(Miles!#REF!*1.3,2)</f>
        <v>#REF!</v>
      </c>
      <c r="N45" s="578"/>
      <c r="O45" s="579" t="e">
        <f t="shared" si="4"/>
        <v>#REF!</v>
      </c>
      <c r="P45" s="545"/>
      <c r="Q45" s="577" t="e">
        <f>ROUND(Miles!#REF!*1.3,2)</f>
        <v>#REF!</v>
      </c>
      <c r="R45" s="578"/>
      <c r="S45" s="579" t="e">
        <f t="shared" si="5"/>
        <v>#REF!</v>
      </c>
      <c r="T45" s="545"/>
      <c r="U45" s="577" t="e">
        <f>ROUND(Miles!#REF!*1.3,2)</f>
        <v>#REF!</v>
      </c>
      <c r="V45" s="578"/>
      <c r="W45" s="579" t="e">
        <f t="shared" si="6"/>
        <v>#REF!</v>
      </c>
      <c r="X45" s="545"/>
      <c r="Y45" s="577" t="e">
        <f>ROUND(Miles!#REF!*1.3,2)</f>
        <v>#REF!</v>
      </c>
      <c r="Z45" s="578"/>
      <c r="AA45" s="579" t="e">
        <f t="shared" si="7"/>
        <v>#REF!</v>
      </c>
      <c r="AB45" s="545"/>
      <c r="AC45" s="577" t="e">
        <f>ROUND(Miles!#REF!*1.3,2)</f>
        <v>#REF!</v>
      </c>
      <c r="AD45" s="578"/>
      <c r="AE45" s="579" t="e">
        <f t="shared" si="8"/>
        <v>#REF!</v>
      </c>
      <c r="AF45" s="545"/>
      <c r="AG45" s="577" t="e">
        <f>ROUND(Miles!#REF!*1.3,2)</f>
        <v>#REF!</v>
      </c>
      <c r="AH45" s="578"/>
      <c r="AI45" s="579" t="e">
        <f t="shared" si="9"/>
        <v>#REF!</v>
      </c>
      <c r="AJ45" s="545"/>
      <c r="AK45" s="577" t="e">
        <f>ROUND(Miles!#REF!*1.3,2)</f>
        <v>#REF!</v>
      </c>
      <c r="AL45" s="578"/>
      <c r="AM45" s="579" t="e">
        <f t="shared" si="10"/>
        <v>#REF!</v>
      </c>
      <c r="AN45" s="545"/>
      <c r="AO45" s="577" t="e">
        <f>ROUND(Miles!#REF!*1.3,2)</f>
        <v>#REF!</v>
      </c>
      <c r="AP45" s="578"/>
      <c r="AQ45" s="579" t="e">
        <f t="shared" si="11"/>
        <v>#REF!</v>
      </c>
      <c r="AR45" s="545"/>
      <c r="AS45" s="577" t="e">
        <f>ROUND(Miles!#REF!*1.3,2)</f>
        <v>#REF!</v>
      </c>
      <c r="AT45" s="578"/>
      <c r="AU45" s="579" t="e">
        <f t="shared" si="12"/>
        <v>#REF!</v>
      </c>
      <c r="AV45" s="545"/>
      <c r="AW45" s="577" t="e">
        <f>ROUND(Miles!#REF!*1.3,2)</f>
        <v>#REF!</v>
      </c>
      <c r="AX45" s="578"/>
      <c r="AY45" s="579" t="e">
        <f t="shared" si="13"/>
        <v>#REF!</v>
      </c>
      <c r="AZ45" s="545"/>
      <c r="BA45" s="577" t="e">
        <f t="shared" si="14"/>
        <v>#REF!</v>
      </c>
      <c r="BB45" s="577">
        <f t="shared" si="15"/>
        <v>0</v>
      </c>
      <c r="BC45" s="579" t="e">
        <f t="shared" si="16"/>
        <v>#REF!</v>
      </c>
      <c r="BE45" s="582" t="e">
        <f t="shared" si="68"/>
        <v>#DIV/0!</v>
      </c>
      <c r="BG45" s="577">
        <v>0</v>
      </c>
      <c r="BH45" s="577">
        <v>0</v>
      </c>
      <c r="BI45" s="579">
        <v>0</v>
      </c>
      <c r="BK45" s="577" t="e">
        <f t="shared" si="69"/>
        <v>#REF!</v>
      </c>
      <c r="BL45" s="577">
        <f t="shared" si="70"/>
        <v>0</v>
      </c>
      <c r="BM45" s="579" t="e">
        <f t="shared" si="71"/>
        <v>#REF!</v>
      </c>
    </row>
    <row r="46" spans="2:65" ht="20.100000000000001" hidden="1" customHeight="1">
      <c r="B46" s="548"/>
      <c r="C46" s="549"/>
      <c r="D46" s="545"/>
      <c r="E46" s="577" t="e">
        <f>ROUND(Miles!#REF!*1.3,2)</f>
        <v>#REF!</v>
      </c>
      <c r="F46" s="578"/>
      <c r="G46" s="579" t="e">
        <f t="shared" si="47"/>
        <v>#REF!</v>
      </c>
      <c r="H46" s="545"/>
      <c r="I46" s="577" t="e">
        <f>ROUND(Miles!#REF!*1.3,2)</f>
        <v>#REF!</v>
      </c>
      <c r="J46" s="578"/>
      <c r="K46" s="579" t="e">
        <f t="shared" si="3"/>
        <v>#REF!</v>
      </c>
      <c r="L46" s="545"/>
      <c r="M46" s="577" t="e">
        <f>ROUND(Miles!#REF!*1.3,2)</f>
        <v>#REF!</v>
      </c>
      <c r="N46" s="578"/>
      <c r="O46" s="579" t="e">
        <f t="shared" si="4"/>
        <v>#REF!</v>
      </c>
      <c r="P46" s="545"/>
      <c r="Q46" s="577" t="e">
        <f>ROUND(Miles!#REF!*1.3,2)</f>
        <v>#REF!</v>
      </c>
      <c r="R46" s="578"/>
      <c r="S46" s="579" t="e">
        <f t="shared" si="5"/>
        <v>#REF!</v>
      </c>
      <c r="T46" s="545"/>
      <c r="U46" s="577" t="e">
        <f>ROUND(Miles!#REF!*1.3,2)</f>
        <v>#REF!</v>
      </c>
      <c r="V46" s="578"/>
      <c r="W46" s="579" t="e">
        <f t="shared" si="6"/>
        <v>#REF!</v>
      </c>
      <c r="X46" s="545"/>
      <c r="Y46" s="577" t="e">
        <f>ROUND(Miles!#REF!*1.3,2)</f>
        <v>#REF!</v>
      </c>
      <c r="Z46" s="578"/>
      <c r="AA46" s="579" t="e">
        <f t="shared" si="7"/>
        <v>#REF!</v>
      </c>
      <c r="AB46" s="545"/>
      <c r="AC46" s="577" t="e">
        <f>ROUND(Miles!#REF!*1.3,2)</f>
        <v>#REF!</v>
      </c>
      <c r="AD46" s="578"/>
      <c r="AE46" s="579" t="e">
        <f t="shared" si="8"/>
        <v>#REF!</v>
      </c>
      <c r="AF46" s="545"/>
      <c r="AG46" s="577" t="e">
        <f>ROUND(Miles!#REF!*1.3,2)</f>
        <v>#REF!</v>
      </c>
      <c r="AH46" s="578"/>
      <c r="AI46" s="579" t="e">
        <f t="shared" si="9"/>
        <v>#REF!</v>
      </c>
      <c r="AJ46" s="545"/>
      <c r="AK46" s="577" t="e">
        <f>ROUND(Miles!#REF!*1.3,2)</f>
        <v>#REF!</v>
      </c>
      <c r="AL46" s="578"/>
      <c r="AM46" s="579" t="e">
        <f t="shared" si="10"/>
        <v>#REF!</v>
      </c>
      <c r="AN46" s="545"/>
      <c r="AO46" s="577" t="e">
        <f>ROUND(Miles!#REF!*1.3,2)</f>
        <v>#REF!</v>
      </c>
      <c r="AP46" s="578"/>
      <c r="AQ46" s="579" t="e">
        <f t="shared" si="11"/>
        <v>#REF!</v>
      </c>
      <c r="AR46" s="545"/>
      <c r="AS46" s="577" t="e">
        <f>ROUND(Miles!#REF!*1.3,2)</f>
        <v>#REF!</v>
      </c>
      <c r="AT46" s="578"/>
      <c r="AU46" s="579" t="e">
        <f t="shared" si="12"/>
        <v>#REF!</v>
      </c>
      <c r="AV46" s="545"/>
      <c r="AW46" s="577" t="e">
        <f>ROUND(Miles!#REF!*1.3,2)</f>
        <v>#REF!</v>
      </c>
      <c r="AX46" s="578"/>
      <c r="AY46" s="579" t="e">
        <f t="shared" si="13"/>
        <v>#REF!</v>
      </c>
      <c r="AZ46" s="545"/>
      <c r="BA46" s="577" t="e">
        <f t="shared" si="14"/>
        <v>#REF!</v>
      </c>
      <c r="BB46" s="577">
        <f t="shared" si="15"/>
        <v>0</v>
      </c>
      <c r="BC46" s="579" t="e">
        <f t="shared" si="16"/>
        <v>#REF!</v>
      </c>
      <c r="BE46" s="582" t="e">
        <f t="shared" si="68"/>
        <v>#DIV/0!</v>
      </c>
      <c r="BG46" s="577">
        <v>0</v>
      </c>
      <c r="BH46" s="577">
        <v>0</v>
      </c>
      <c r="BI46" s="579">
        <v>0</v>
      </c>
      <c r="BK46" s="577" t="e">
        <f t="shared" si="69"/>
        <v>#REF!</v>
      </c>
      <c r="BL46" s="577">
        <f t="shared" si="70"/>
        <v>0</v>
      </c>
      <c r="BM46" s="579" t="e">
        <f t="shared" si="71"/>
        <v>#REF!</v>
      </c>
    </row>
    <row r="47" spans="2:65" ht="20.100000000000001" hidden="1" customHeight="1">
      <c r="B47" s="548"/>
      <c r="C47" s="548"/>
      <c r="D47" s="545"/>
      <c r="E47" s="577" t="e">
        <f>ROUND(Miles!#REF!*1.3,2)</f>
        <v>#REF!</v>
      </c>
      <c r="F47" s="578"/>
      <c r="G47" s="579" t="e">
        <f t="shared" si="47"/>
        <v>#REF!</v>
      </c>
      <c r="H47" s="545"/>
      <c r="I47" s="577" t="e">
        <f>ROUND(Miles!#REF!*1.3,2)</f>
        <v>#REF!</v>
      </c>
      <c r="J47" s="578"/>
      <c r="K47" s="579" t="e">
        <f t="shared" si="3"/>
        <v>#REF!</v>
      </c>
      <c r="L47" s="545"/>
      <c r="M47" s="577" t="e">
        <f>ROUND(Miles!#REF!*1.3,2)</f>
        <v>#REF!</v>
      </c>
      <c r="N47" s="578"/>
      <c r="O47" s="579" t="e">
        <f t="shared" si="4"/>
        <v>#REF!</v>
      </c>
      <c r="P47" s="545"/>
      <c r="Q47" s="577" t="e">
        <f>ROUND(Miles!#REF!*1.3,2)</f>
        <v>#REF!</v>
      </c>
      <c r="R47" s="578"/>
      <c r="S47" s="579" t="e">
        <f t="shared" si="5"/>
        <v>#REF!</v>
      </c>
      <c r="T47" s="545"/>
      <c r="U47" s="577" t="e">
        <f>ROUND(Miles!#REF!*1.3,2)</f>
        <v>#REF!</v>
      </c>
      <c r="V47" s="578"/>
      <c r="W47" s="579" t="e">
        <f t="shared" si="6"/>
        <v>#REF!</v>
      </c>
      <c r="X47" s="545"/>
      <c r="Y47" s="577" t="e">
        <f>ROUND(Miles!#REF!*1.3,2)</f>
        <v>#REF!</v>
      </c>
      <c r="Z47" s="578"/>
      <c r="AA47" s="579" t="e">
        <f t="shared" si="7"/>
        <v>#REF!</v>
      </c>
      <c r="AB47" s="545"/>
      <c r="AC47" s="577" t="e">
        <f>ROUND(Miles!#REF!*1.3,2)</f>
        <v>#REF!</v>
      </c>
      <c r="AD47" s="578"/>
      <c r="AE47" s="579" t="e">
        <f t="shared" si="8"/>
        <v>#REF!</v>
      </c>
      <c r="AF47" s="545"/>
      <c r="AG47" s="577" t="e">
        <f>ROUND(Miles!#REF!*1.3,2)</f>
        <v>#REF!</v>
      </c>
      <c r="AH47" s="578"/>
      <c r="AI47" s="579" t="e">
        <f t="shared" si="9"/>
        <v>#REF!</v>
      </c>
      <c r="AJ47" s="545"/>
      <c r="AK47" s="577" t="e">
        <f>ROUND(Miles!#REF!*1.3,2)</f>
        <v>#REF!</v>
      </c>
      <c r="AL47" s="578"/>
      <c r="AM47" s="579" t="e">
        <f t="shared" si="10"/>
        <v>#REF!</v>
      </c>
      <c r="AN47" s="545"/>
      <c r="AO47" s="577" t="e">
        <f>ROUND(Miles!#REF!*1.3,2)</f>
        <v>#REF!</v>
      </c>
      <c r="AP47" s="578"/>
      <c r="AQ47" s="579" t="e">
        <f t="shared" si="11"/>
        <v>#REF!</v>
      </c>
      <c r="AR47" s="545"/>
      <c r="AS47" s="577" t="e">
        <f>ROUND(Miles!#REF!*1.3,2)</f>
        <v>#REF!</v>
      </c>
      <c r="AT47" s="578"/>
      <c r="AU47" s="579" t="e">
        <f t="shared" si="12"/>
        <v>#REF!</v>
      </c>
      <c r="AV47" s="545"/>
      <c r="AW47" s="577" t="e">
        <f>ROUND(Miles!#REF!*1.3,2)</f>
        <v>#REF!</v>
      </c>
      <c r="AX47" s="578"/>
      <c r="AY47" s="579" t="e">
        <f t="shared" si="13"/>
        <v>#REF!</v>
      </c>
      <c r="AZ47" s="545"/>
      <c r="BA47" s="577" t="e">
        <f t="shared" si="14"/>
        <v>#REF!</v>
      </c>
      <c r="BB47" s="577">
        <f t="shared" si="15"/>
        <v>0</v>
      </c>
      <c r="BC47" s="579" t="e">
        <f t="shared" si="16"/>
        <v>#REF!</v>
      </c>
      <c r="BE47" s="582" t="e">
        <f t="shared" si="68"/>
        <v>#DIV/0!</v>
      </c>
      <c r="BG47" s="577">
        <v>0</v>
      </c>
      <c r="BH47" s="577">
        <v>0</v>
      </c>
      <c r="BI47" s="579">
        <v>0</v>
      </c>
      <c r="BK47" s="577" t="e">
        <f t="shared" si="69"/>
        <v>#REF!</v>
      </c>
      <c r="BL47" s="577">
        <f t="shared" si="70"/>
        <v>0</v>
      </c>
      <c r="BM47" s="579" t="e">
        <f t="shared" si="71"/>
        <v>#REF!</v>
      </c>
    </row>
    <row r="48" spans="2:65" ht="20.100000000000001" hidden="1" customHeight="1">
      <c r="B48" s="548"/>
      <c r="C48" s="549"/>
      <c r="D48" s="545"/>
      <c r="E48" s="577" t="e">
        <f>ROUND(Miles!#REF!*1.3,2)</f>
        <v>#REF!</v>
      </c>
      <c r="F48" s="578"/>
      <c r="G48" s="579" t="e">
        <f t="shared" si="47"/>
        <v>#REF!</v>
      </c>
      <c r="H48" s="545"/>
      <c r="I48" s="577" t="e">
        <f>ROUND(Miles!#REF!*1.3,2)</f>
        <v>#REF!</v>
      </c>
      <c r="J48" s="578"/>
      <c r="K48" s="579" t="e">
        <f t="shared" si="3"/>
        <v>#REF!</v>
      </c>
      <c r="L48" s="545"/>
      <c r="M48" s="577" t="e">
        <f>ROUND(Miles!#REF!*1.3,2)</f>
        <v>#REF!</v>
      </c>
      <c r="N48" s="578"/>
      <c r="O48" s="579" t="e">
        <f t="shared" si="4"/>
        <v>#REF!</v>
      </c>
      <c r="P48" s="545"/>
      <c r="Q48" s="577" t="e">
        <f>ROUND(Miles!#REF!*1.3,2)</f>
        <v>#REF!</v>
      </c>
      <c r="R48" s="578"/>
      <c r="S48" s="579" t="e">
        <f t="shared" si="5"/>
        <v>#REF!</v>
      </c>
      <c r="T48" s="545"/>
      <c r="U48" s="577" t="e">
        <f>ROUND(Miles!#REF!*1.3,2)</f>
        <v>#REF!</v>
      </c>
      <c r="V48" s="578"/>
      <c r="W48" s="579" t="e">
        <f t="shared" si="6"/>
        <v>#REF!</v>
      </c>
      <c r="X48" s="545"/>
      <c r="Y48" s="577" t="e">
        <f>ROUND(Miles!#REF!*1.3,2)</f>
        <v>#REF!</v>
      </c>
      <c r="Z48" s="578"/>
      <c r="AA48" s="579" t="e">
        <f t="shared" si="7"/>
        <v>#REF!</v>
      </c>
      <c r="AB48" s="545"/>
      <c r="AC48" s="577" t="e">
        <f>ROUND(Miles!#REF!*1.3,2)</f>
        <v>#REF!</v>
      </c>
      <c r="AD48" s="578"/>
      <c r="AE48" s="579" t="e">
        <f t="shared" si="8"/>
        <v>#REF!</v>
      </c>
      <c r="AF48" s="545"/>
      <c r="AG48" s="577" t="e">
        <f>ROUND(Miles!#REF!*1.3,2)</f>
        <v>#REF!</v>
      </c>
      <c r="AH48" s="578"/>
      <c r="AI48" s="579" t="e">
        <f t="shared" si="9"/>
        <v>#REF!</v>
      </c>
      <c r="AJ48" s="545"/>
      <c r="AK48" s="577" t="e">
        <f>ROUND(Miles!#REF!*1.3,2)</f>
        <v>#REF!</v>
      </c>
      <c r="AL48" s="578"/>
      <c r="AM48" s="579" t="e">
        <f t="shared" si="10"/>
        <v>#REF!</v>
      </c>
      <c r="AN48" s="545"/>
      <c r="AO48" s="577" t="e">
        <f>ROUND(Miles!#REF!*1.3,2)</f>
        <v>#REF!</v>
      </c>
      <c r="AP48" s="578"/>
      <c r="AQ48" s="579" t="e">
        <f t="shared" si="11"/>
        <v>#REF!</v>
      </c>
      <c r="AR48" s="545"/>
      <c r="AS48" s="577" t="e">
        <f>ROUND(Miles!#REF!*1.3,2)</f>
        <v>#REF!</v>
      </c>
      <c r="AT48" s="578"/>
      <c r="AU48" s="579" t="e">
        <f t="shared" si="12"/>
        <v>#REF!</v>
      </c>
      <c r="AV48" s="545"/>
      <c r="AW48" s="577" t="e">
        <f>ROUND(Miles!#REF!*1.3,2)</f>
        <v>#REF!</v>
      </c>
      <c r="AX48" s="578"/>
      <c r="AY48" s="579" t="e">
        <f t="shared" si="13"/>
        <v>#REF!</v>
      </c>
      <c r="AZ48" s="545"/>
      <c r="BA48" s="577" t="e">
        <f t="shared" si="14"/>
        <v>#REF!</v>
      </c>
      <c r="BB48" s="577">
        <f t="shared" si="15"/>
        <v>0</v>
      </c>
      <c r="BC48" s="579" t="e">
        <f t="shared" si="16"/>
        <v>#REF!</v>
      </c>
      <c r="BE48" s="582" t="e">
        <f t="shared" si="68"/>
        <v>#DIV/0!</v>
      </c>
      <c r="BG48" s="577">
        <v>0</v>
      </c>
      <c r="BH48" s="577">
        <v>0</v>
      </c>
      <c r="BI48" s="579">
        <v>0</v>
      </c>
      <c r="BK48" s="577" t="e">
        <f t="shared" si="69"/>
        <v>#REF!</v>
      </c>
      <c r="BL48" s="577">
        <f t="shared" si="70"/>
        <v>0</v>
      </c>
      <c r="BM48" s="579" t="e">
        <f t="shared" si="71"/>
        <v>#REF!</v>
      </c>
    </row>
    <row r="49" spans="2:65" ht="20.100000000000001" hidden="1" customHeight="1">
      <c r="B49" s="549"/>
      <c r="C49" s="549"/>
      <c r="D49" s="545"/>
      <c r="E49" s="577" t="e">
        <f>ROUND(Miles!#REF!*1.3,2)</f>
        <v>#REF!</v>
      </c>
      <c r="F49" s="578"/>
      <c r="G49" s="579" t="e">
        <f t="shared" si="47"/>
        <v>#REF!</v>
      </c>
      <c r="H49" s="545"/>
      <c r="I49" s="577" t="e">
        <f>ROUND(Miles!#REF!*1.3,2)</f>
        <v>#REF!</v>
      </c>
      <c r="J49" s="578"/>
      <c r="K49" s="579" t="e">
        <f t="shared" si="3"/>
        <v>#REF!</v>
      </c>
      <c r="L49" s="545"/>
      <c r="M49" s="577" t="e">
        <f>ROUND(Miles!#REF!*1.3,2)</f>
        <v>#REF!</v>
      </c>
      <c r="N49" s="578"/>
      <c r="O49" s="579" t="e">
        <f t="shared" si="4"/>
        <v>#REF!</v>
      </c>
      <c r="P49" s="545"/>
      <c r="Q49" s="577" t="e">
        <f>ROUND(Miles!#REF!*1.3,2)</f>
        <v>#REF!</v>
      </c>
      <c r="R49" s="578"/>
      <c r="S49" s="579" t="e">
        <f t="shared" si="5"/>
        <v>#REF!</v>
      </c>
      <c r="T49" s="545"/>
      <c r="U49" s="577" t="e">
        <f>ROUND(Miles!#REF!*1.3,2)</f>
        <v>#REF!</v>
      </c>
      <c r="V49" s="578"/>
      <c r="W49" s="579" t="e">
        <f t="shared" si="6"/>
        <v>#REF!</v>
      </c>
      <c r="X49" s="545"/>
      <c r="Y49" s="577" t="e">
        <f>ROUND(Miles!#REF!*1.3,2)</f>
        <v>#REF!</v>
      </c>
      <c r="Z49" s="578"/>
      <c r="AA49" s="579" t="e">
        <f t="shared" si="7"/>
        <v>#REF!</v>
      </c>
      <c r="AB49" s="545"/>
      <c r="AC49" s="577" t="e">
        <f>ROUND(Miles!#REF!*1.3,2)</f>
        <v>#REF!</v>
      </c>
      <c r="AD49" s="578"/>
      <c r="AE49" s="579" t="e">
        <f t="shared" si="8"/>
        <v>#REF!</v>
      </c>
      <c r="AF49" s="545"/>
      <c r="AG49" s="577" t="e">
        <f>ROUND(Miles!#REF!*1.3,2)</f>
        <v>#REF!</v>
      </c>
      <c r="AH49" s="578"/>
      <c r="AI49" s="579" t="e">
        <f t="shared" si="9"/>
        <v>#REF!</v>
      </c>
      <c r="AJ49" s="545"/>
      <c r="AK49" s="577" t="e">
        <f>ROUND(Miles!#REF!*1.3,2)</f>
        <v>#REF!</v>
      </c>
      <c r="AL49" s="578"/>
      <c r="AM49" s="579" t="e">
        <f t="shared" si="10"/>
        <v>#REF!</v>
      </c>
      <c r="AN49" s="545"/>
      <c r="AO49" s="577" t="e">
        <f>ROUND(Miles!#REF!*1.3,2)</f>
        <v>#REF!</v>
      </c>
      <c r="AP49" s="578"/>
      <c r="AQ49" s="579" t="e">
        <f t="shared" si="11"/>
        <v>#REF!</v>
      </c>
      <c r="AR49" s="545"/>
      <c r="AS49" s="577" t="e">
        <f>ROUND(Miles!#REF!*1.3,2)</f>
        <v>#REF!</v>
      </c>
      <c r="AT49" s="578"/>
      <c r="AU49" s="579" t="e">
        <f t="shared" si="12"/>
        <v>#REF!</v>
      </c>
      <c r="AV49" s="545"/>
      <c r="AW49" s="577" t="e">
        <f>ROUND(Miles!#REF!*1.3,2)</f>
        <v>#REF!</v>
      </c>
      <c r="AX49" s="578"/>
      <c r="AY49" s="579" t="e">
        <f t="shared" si="13"/>
        <v>#REF!</v>
      </c>
      <c r="AZ49" s="545"/>
      <c r="BA49" s="577" t="e">
        <f t="shared" si="14"/>
        <v>#REF!</v>
      </c>
      <c r="BB49" s="577">
        <f t="shared" si="15"/>
        <v>0</v>
      </c>
      <c r="BC49" s="579" t="e">
        <f t="shared" si="16"/>
        <v>#REF!</v>
      </c>
      <c r="BE49" s="582" t="e">
        <f t="shared" si="68"/>
        <v>#DIV/0!</v>
      </c>
      <c r="BG49" s="577">
        <v>0</v>
      </c>
      <c r="BH49" s="577">
        <v>0</v>
      </c>
      <c r="BI49" s="579">
        <v>0</v>
      </c>
      <c r="BK49" s="577" t="e">
        <f t="shared" si="69"/>
        <v>#REF!</v>
      </c>
      <c r="BL49" s="577">
        <f t="shared" si="70"/>
        <v>0</v>
      </c>
      <c r="BM49" s="579" t="e">
        <f t="shared" si="71"/>
        <v>#REF!</v>
      </c>
    </row>
    <row r="50" spans="2:65" ht="20.100000000000001" hidden="1" customHeight="1">
      <c r="B50" s="549"/>
      <c r="C50" s="549"/>
      <c r="D50" s="545"/>
      <c r="E50" s="577" t="e">
        <f>ROUND(Miles!#REF!*1.3,2)</f>
        <v>#REF!</v>
      </c>
      <c r="F50" s="578"/>
      <c r="G50" s="579" t="e">
        <f t="shared" si="47"/>
        <v>#REF!</v>
      </c>
      <c r="H50" s="545"/>
      <c r="I50" s="577" t="e">
        <f>ROUND(Miles!#REF!*1.3,2)</f>
        <v>#REF!</v>
      </c>
      <c r="J50" s="578"/>
      <c r="K50" s="579" t="e">
        <f t="shared" si="3"/>
        <v>#REF!</v>
      </c>
      <c r="L50" s="545"/>
      <c r="M50" s="577" t="e">
        <f>ROUND(Miles!#REF!*1.3,2)</f>
        <v>#REF!</v>
      </c>
      <c r="N50" s="578"/>
      <c r="O50" s="579" t="e">
        <f t="shared" si="4"/>
        <v>#REF!</v>
      </c>
      <c r="P50" s="545"/>
      <c r="Q50" s="577" t="e">
        <f>ROUND(Miles!#REF!*1.3,2)</f>
        <v>#REF!</v>
      </c>
      <c r="R50" s="578"/>
      <c r="S50" s="579" t="e">
        <f t="shared" si="5"/>
        <v>#REF!</v>
      </c>
      <c r="T50" s="545"/>
      <c r="U50" s="577" t="e">
        <f>ROUND(Miles!#REF!*1.3,2)</f>
        <v>#REF!</v>
      </c>
      <c r="V50" s="578"/>
      <c r="W50" s="579" t="e">
        <f t="shared" si="6"/>
        <v>#REF!</v>
      </c>
      <c r="X50" s="545"/>
      <c r="Y50" s="577" t="e">
        <f>ROUND(Miles!#REF!*1.3,2)</f>
        <v>#REF!</v>
      </c>
      <c r="Z50" s="578"/>
      <c r="AA50" s="579" t="e">
        <f t="shared" si="7"/>
        <v>#REF!</v>
      </c>
      <c r="AB50" s="545"/>
      <c r="AC50" s="577" t="e">
        <f>ROUND(Miles!#REF!*1.3,2)</f>
        <v>#REF!</v>
      </c>
      <c r="AD50" s="578"/>
      <c r="AE50" s="579" t="e">
        <f t="shared" si="8"/>
        <v>#REF!</v>
      </c>
      <c r="AF50" s="545"/>
      <c r="AG50" s="577" t="e">
        <f>ROUND(Miles!#REF!*1.3,2)</f>
        <v>#REF!</v>
      </c>
      <c r="AH50" s="578"/>
      <c r="AI50" s="579" t="e">
        <f t="shared" si="9"/>
        <v>#REF!</v>
      </c>
      <c r="AJ50" s="545"/>
      <c r="AK50" s="577" t="e">
        <f>ROUND(Miles!#REF!*1.3,2)</f>
        <v>#REF!</v>
      </c>
      <c r="AL50" s="578"/>
      <c r="AM50" s="579" t="e">
        <f t="shared" si="10"/>
        <v>#REF!</v>
      </c>
      <c r="AN50" s="545"/>
      <c r="AO50" s="577" t="e">
        <f>ROUND(Miles!#REF!*1.3,2)</f>
        <v>#REF!</v>
      </c>
      <c r="AP50" s="578"/>
      <c r="AQ50" s="579" t="e">
        <f t="shared" si="11"/>
        <v>#REF!</v>
      </c>
      <c r="AR50" s="545"/>
      <c r="AS50" s="577" t="e">
        <f>ROUND(Miles!#REF!*1.3,2)</f>
        <v>#REF!</v>
      </c>
      <c r="AT50" s="578"/>
      <c r="AU50" s="579" t="e">
        <f t="shared" si="12"/>
        <v>#REF!</v>
      </c>
      <c r="AV50" s="545"/>
      <c r="AW50" s="577" t="e">
        <f>ROUND(Miles!#REF!*1.3,2)</f>
        <v>#REF!</v>
      </c>
      <c r="AX50" s="578"/>
      <c r="AY50" s="579" t="e">
        <f t="shared" si="13"/>
        <v>#REF!</v>
      </c>
      <c r="AZ50" s="545"/>
      <c r="BA50" s="577" t="e">
        <f t="shared" si="14"/>
        <v>#REF!</v>
      </c>
      <c r="BB50" s="577">
        <f t="shared" si="15"/>
        <v>0</v>
      </c>
      <c r="BC50" s="579" t="e">
        <f t="shared" si="16"/>
        <v>#REF!</v>
      </c>
      <c r="BE50" s="582" t="e">
        <f t="shared" si="68"/>
        <v>#DIV/0!</v>
      </c>
      <c r="BG50" s="577">
        <v>0</v>
      </c>
      <c r="BH50" s="577">
        <v>0</v>
      </c>
      <c r="BI50" s="579">
        <v>0</v>
      </c>
      <c r="BK50" s="577" t="e">
        <f t="shared" si="69"/>
        <v>#REF!</v>
      </c>
      <c r="BL50" s="577">
        <f t="shared" si="70"/>
        <v>0</v>
      </c>
      <c r="BM50" s="579" t="e">
        <f t="shared" si="71"/>
        <v>#REF!</v>
      </c>
    </row>
    <row r="51" spans="2:65" ht="20.100000000000001" hidden="1" customHeight="1">
      <c r="B51" s="549"/>
      <c r="C51" s="549"/>
      <c r="D51" s="545"/>
      <c r="E51" s="577" t="e">
        <f>ROUND(Miles!#REF!*1.3,2)</f>
        <v>#REF!</v>
      </c>
      <c r="F51" s="578"/>
      <c r="G51" s="579" t="e">
        <f t="shared" si="47"/>
        <v>#REF!</v>
      </c>
      <c r="H51" s="545"/>
      <c r="I51" s="577" t="e">
        <f>ROUND(Miles!#REF!*1.3,2)</f>
        <v>#REF!</v>
      </c>
      <c r="J51" s="578"/>
      <c r="K51" s="579" t="e">
        <f t="shared" si="3"/>
        <v>#REF!</v>
      </c>
      <c r="L51" s="545"/>
      <c r="M51" s="577" t="e">
        <f>ROUND(Miles!#REF!*1.3,2)</f>
        <v>#REF!</v>
      </c>
      <c r="N51" s="578"/>
      <c r="O51" s="579" t="e">
        <f t="shared" si="4"/>
        <v>#REF!</v>
      </c>
      <c r="P51" s="545"/>
      <c r="Q51" s="577" t="e">
        <f>ROUND(Miles!#REF!*1.3,2)</f>
        <v>#REF!</v>
      </c>
      <c r="R51" s="578"/>
      <c r="S51" s="579" t="e">
        <f t="shared" si="5"/>
        <v>#REF!</v>
      </c>
      <c r="T51" s="545"/>
      <c r="U51" s="577" t="e">
        <f>ROUND(Miles!#REF!*1.3,2)</f>
        <v>#REF!</v>
      </c>
      <c r="V51" s="578"/>
      <c r="W51" s="579" t="e">
        <f t="shared" si="6"/>
        <v>#REF!</v>
      </c>
      <c r="X51" s="545"/>
      <c r="Y51" s="577" t="e">
        <f>ROUND(Miles!#REF!*1.3,2)</f>
        <v>#REF!</v>
      </c>
      <c r="Z51" s="578"/>
      <c r="AA51" s="579" t="e">
        <f t="shared" si="7"/>
        <v>#REF!</v>
      </c>
      <c r="AB51" s="545"/>
      <c r="AC51" s="577" t="e">
        <f>ROUND(Miles!#REF!*1.3,2)</f>
        <v>#REF!</v>
      </c>
      <c r="AD51" s="578"/>
      <c r="AE51" s="579" t="e">
        <f t="shared" si="8"/>
        <v>#REF!</v>
      </c>
      <c r="AF51" s="545"/>
      <c r="AG51" s="577" t="e">
        <f>ROUND(Miles!#REF!*1.3,2)</f>
        <v>#REF!</v>
      </c>
      <c r="AH51" s="578"/>
      <c r="AI51" s="579" t="e">
        <f t="shared" si="9"/>
        <v>#REF!</v>
      </c>
      <c r="AJ51" s="545"/>
      <c r="AK51" s="577" t="e">
        <f>ROUND(Miles!#REF!*1.3,2)</f>
        <v>#REF!</v>
      </c>
      <c r="AL51" s="578"/>
      <c r="AM51" s="579" t="e">
        <f t="shared" si="10"/>
        <v>#REF!</v>
      </c>
      <c r="AN51" s="545"/>
      <c r="AO51" s="577" t="e">
        <f>ROUND(Miles!#REF!*1.3,2)</f>
        <v>#REF!</v>
      </c>
      <c r="AP51" s="578"/>
      <c r="AQ51" s="579" t="e">
        <f t="shared" si="11"/>
        <v>#REF!</v>
      </c>
      <c r="AR51" s="545"/>
      <c r="AS51" s="577" t="e">
        <f>ROUND(Miles!#REF!*1.3,2)</f>
        <v>#REF!</v>
      </c>
      <c r="AT51" s="578"/>
      <c r="AU51" s="579" t="e">
        <f t="shared" si="12"/>
        <v>#REF!</v>
      </c>
      <c r="AV51" s="545"/>
      <c r="AW51" s="577" t="e">
        <f>ROUND(Miles!#REF!*1.3,2)</f>
        <v>#REF!</v>
      </c>
      <c r="AX51" s="578"/>
      <c r="AY51" s="579" t="e">
        <f t="shared" si="13"/>
        <v>#REF!</v>
      </c>
      <c r="AZ51" s="545"/>
      <c r="BA51" s="577" t="e">
        <f t="shared" si="14"/>
        <v>#REF!</v>
      </c>
      <c r="BB51" s="577">
        <f t="shared" si="15"/>
        <v>0</v>
      </c>
      <c r="BC51" s="579" t="e">
        <f t="shared" si="16"/>
        <v>#REF!</v>
      </c>
      <c r="BE51" s="582" t="e">
        <f t="shared" si="68"/>
        <v>#DIV/0!</v>
      </c>
      <c r="BG51" s="577">
        <v>0</v>
      </c>
      <c r="BH51" s="577">
        <v>0</v>
      </c>
      <c r="BI51" s="579">
        <v>0</v>
      </c>
      <c r="BK51" s="577" t="e">
        <f t="shared" si="69"/>
        <v>#REF!</v>
      </c>
      <c r="BL51" s="577">
        <f t="shared" si="70"/>
        <v>0</v>
      </c>
      <c r="BM51" s="579" t="e">
        <f t="shared" si="71"/>
        <v>#REF!</v>
      </c>
    </row>
    <row r="52" spans="2:65" ht="9.75" customHeight="1">
      <c r="B52" s="550"/>
      <c r="C52" s="550"/>
      <c r="D52" s="545"/>
      <c r="E52" s="551"/>
      <c r="F52" s="551"/>
      <c r="G52" s="551"/>
      <c r="H52" s="545"/>
      <c r="I52" s="551"/>
      <c r="J52" s="551"/>
      <c r="K52" s="551"/>
      <c r="L52" s="545"/>
      <c r="M52" s="551"/>
      <c r="N52" s="551"/>
      <c r="O52" s="551"/>
      <c r="P52" s="545"/>
      <c r="Q52" s="551"/>
      <c r="R52" s="551"/>
      <c r="S52" s="551"/>
      <c r="T52" s="545"/>
      <c r="U52" s="551"/>
      <c r="V52" s="551"/>
      <c r="W52" s="551"/>
      <c r="X52" s="545"/>
      <c r="Y52" s="551"/>
      <c r="Z52" s="551"/>
      <c r="AA52" s="551"/>
      <c r="AB52" s="545"/>
      <c r="AC52" s="551"/>
      <c r="AD52" s="551"/>
      <c r="AE52" s="551"/>
      <c r="AF52" s="545"/>
      <c r="AG52" s="551"/>
      <c r="AH52" s="551"/>
      <c r="AI52" s="551"/>
      <c r="AJ52" s="545"/>
      <c r="AK52" s="551"/>
      <c r="AL52" s="551"/>
      <c r="AM52" s="551"/>
      <c r="AN52" s="545"/>
      <c r="AO52" s="551"/>
      <c r="AP52" s="551"/>
      <c r="AQ52" s="551"/>
      <c r="AR52" s="545"/>
      <c r="AS52" s="551"/>
      <c r="AT52" s="551"/>
      <c r="AU52" s="551"/>
      <c r="AV52" s="545"/>
      <c r="AW52" s="551"/>
      <c r="AX52" s="551"/>
      <c r="AY52" s="551"/>
      <c r="AZ52" s="545"/>
      <c r="BA52" s="551"/>
      <c r="BB52" s="551"/>
      <c r="BC52" s="551"/>
      <c r="BE52" s="552"/>
      <c r="BG52" s="551"/>
      <c r="BH52" s="551"/>
      <c r="BI52" s="551"/>
      <c r="BK52" s="551"/>
      <c r="BL52" s="551"/>
      <c r="BM52" s="551"/>
    </row>
    <row r="53" spans="2:65" ht="12.75" customHeight="1">
      <c r="B53" s="553"/>
      <c r="C53" s="554"/>
      <c r="D53" s="545"/>
      <c r="E53" s="583"/>
      <c r="F53" s="583"/>
      <c r="G53" s="555"/>
      <c r="H53" s="545"/>
      <c r="I53" s="583"/>
      <c r="J53" s="583"/>
      <c r="K53" s="555"/>
      <c r="L53" s="545"/>
      <c r="M53" s="583"/>
      <c r="N53" s="583"/>
      <c r="O53" s="555"/>
      <c r="P53" s="545"/>
      <c r="Q53" s="583"/>
      <c r="R53" s="583"/>
      <c r="S53" s="555"/>
      <c r="T53" s="545"/>
      <c r="U53" s="583"/>
      <c r="V53" s="583"/>
      <c r="W53" s="555"/>
      <c r="X53" s="545"/>
      <c r="Y53" s="583"/>
      <c r="Z53" s="583"/>
      <c r="AA53" s="555"/>
      <c r="AB53" s="545"/>
      <c r="AC53" s="583"/>
      <c r="AD53" s="583"/>
      <c r="AE53" s="555"/>
      <c r="AF53" s="545"/>
      <c r="AG53" s="583"/>
      <c r="AH53" s="583"/>
      <c r="AI53" s="555"/>
      <c r="AJ53" s="545"/>
      <c r="AK53" s="583"/>
      <c r="AL53" s="583"/>
      <c r="AM53" s="555"/>
      <c r="AN53" s="545"/>
      <c r="AO53" s="583"/>
      <c r="AP53" s="583"/>
      <c r="AQ53" s="555"/>
      <c r="AR53" s="545"/>
      <c r="AS53" s="583"/>
      <c r="AT53" s="583"/>
      <c r="AU53" s="555"/>
      <c r="AV53" s="545"/>
      <c r="AW53" s="583"/>
      <c r="AX53" s="583"/>
      <c r="AY53" s="555"/>
      <c r="AZ53" s="545"/>
      <c r="BA53" s="555"/>
      <c r="BB53" s="555"/>
      <c r="BC53" s="555"/>
      <c r="BE53" s="556"/>
      <c r="BG53" s="664"/>
      <c r="BH53" s="664"/>
      <c r="BI53" s="664"/>
      <c r="BK53" s="664"/>
      <c r="BL53" s="664"/>
      <c r="BM53" s="664"/>
    </row>
    <row r="54" spans="2:65" ht="20.100000000000001" customHeight="1">
      <c r="B54" s="557" t="s">
        <v>137</v>
      </c>
      <c r="C54" s="558"/>
      <c r="D54" s="559"/>
      <c r="E54" s="584" t="e">
        <f>SUM(E13:E52)</f>
        <v>#REF!</v>
      </c>
      <c r="F54" s="584">
        <f>SUM(F13:F52)</f>
        <v>-9022</v>
      </c>
      <c r="G54" s="585" t="e">
        <f>SUM(G13:G52)</f>
        <v>#REF!</v>
      </c>
      <c r="H54" s="559"/>
      <c r="I54" s="584" t="e">
        <f>SUM(I13:I52)</f>
        <v>#REF!</v>
      </c>
      <c r="J54" s="584">
        <f>SUM(J13:J52)</f>
        <v>-8974</v>
      </c>
      <c r="K54" s="585" t="e">
        <f>SUM(K13:K52)</f>
        <v>#REF!</v>
      </c>
      <c r="L54" s="559"/>
      <c r="M54" s="584" t="e">
        <f>SUM(M13:M52)</f>
        <v>#REF!</v>
      </c>
      <c r="N54" s="584">
        <f>SUM(N13:N52)</f>
        <v>-8645</v>
      </c>
      <c r="O54" s="585" t="e">
        <f>SUM(O13:O52)</f>
        <v>#REF!</v>
      </c>
      <c r="P54" s="559"/>
      <c r="Q54" s="584" t="e">
        <f>SUM(Q13:Q52)</f>
        <v>#REF!</v>
      </c>
      <c r="R54" s="584">
        <f>SUM(R13:R52)</f>
        <v>-9449</v>
      </c>
      <c r="S54" s="585" t="e">
        <f>SUM(S13:S52)</f>
        <v>#REF!</v>
      </c>
      <c r="T54" s="559"/>
      <c r="U54" s="584" t="e">
        <f>SUM(U13:U52)</f>
        <v>#REF!</v>
      </c>
      <c r="V54" s="584">
        <f>SUM(V13:V52)</f>
        <v>-7311</v>
      </c>
      <c r="W54" s="585" t="e">
        <f>SUM(W13:W52)</f>
        <v>#REF!</v>
      </c>
      <c r="X54" s="559"/>
      <c r="Y54" s="584" t="e">
        <f>SUM(Y13:Y52)</f>
        <v>#REF!</v>
      </c>
      <c r="Z54" s="584">
        <f>SUM(Z13:Z52)</f>
        <v>-8049</v>
      </c>
      <c r="AA54" s="585" t="e">
        <f>SUM(AA13:AA52)</f>
        <v>#REF!</v>
      </c>
      <c r="AB54" s="559"/>
      <c r="AC54" s="584" t="e">
        <f>SUM(AC13:AC52)</f>
        <v>#REF!</v>
      </c>
      <c r="AD54" s="584">
        <f>SUM(AD13:AD52)</f>
        <v>0</v>
      </c>
      <c r="AE54" s="585" t="e">
        <f>SUM(AE13:AE52)</f>
        <v>#REF!</v>
      </c>
      <c r="AF54" s="559"/>
      <c r="AG54" s="584" t="e">
        <f>SUM(AG13:AG52)</f>
        <v>#REF!</v>
      </c>
      <c r="AH54" s="584">
        <f>SUM(AH13:AH52)</f>
        <v>0</v>
      </c>
      <c r="AI54" s="585" t="e">
        <f>SUM(AI13:AI52)</f>
        <v>#REF!</v>
      </c>
      <c r="AJ54" s="559"/>
      <c r="AK54" s="584" t="e">
        <f>SUM(AK13:AK52)</f>
        <v>#REF!</v>
      </c>
      <c r="AL54" s="584">
        <f>SUM(AL13:AL52)</f>
        <v>0</v>
      </c>
      <c r="AM54" s="585" t="e">
        <f>SUM(AM13:AM52)</f>
        <v>#REF!</v>
      </c>
      <c r="AN54" s="559"/>
      <c r="AO54" s="584" t="e">
        <f>SUM(AO13:AO52)</f>
        <v>#REF!</v>
      </c>
      <c r="AP54" s="584">
        <f>SUM(AP13:AP52)</f>
        <v>0</v>
      </c>
      <c r="AQ54" s="585" t="e">
        <f>SUM(AQ13:AQ52)</f>
        <v>#REF!</v>
      </c>
      <c r="AR54" s="559"/>
      <c r="AS54" s="584" t="e">
        <f>SUM(AS13:AS52)</f>
        <v>#REF!</v>
      </c>
      <c r="AT54" s="584">
        <f>SUM(AT13:AT52)</f>
        <v>0</v>
      </c>
      <c r="AU54" s="585" t="e">
        <f>SUM(AU13:AU52)</f>
        <v>#REF!</v>
      </c>
      <c r="AV54" s="559"/>
      <c r="AW54" s="584" t="e">
        <f>SUM(AW13:AW52)</f>
        <v>#REF!</v>
      </c>
      <c r="AX54" s="584">
        <f>SUM(AX13:AX52)</f>
        <v>0</v>
      </c>
      <c r="AY54" s="585" t="e">
        <f>SUM(AY13:AY52)</f>
        <v>#REF!</v>
      </c>
      <c r="AZ54" s="559"/>
      <c r="BA54" s="584" t="e">
        <f>SUM(BA13:BA52)</f>
        <v>#REF!</v>
      </c>
      <c r="BB54" s="584">
        <f>SUM(BB13:BB52)</f>
        <v>-51450</v>
      </c>
      <c r="BC54" s="585" t="e">
        <f>SUM(BC13:BC52)</f>
        <v>#REF!</v>
      </c>
      <c r="BD54" s="560"/>
      <c r="BE54" s="561">
        <f>SUM(BE13:BE43)</f>
        <v>0</v>
      </c>
      <c r="BG54" s="665">
        <v>1700170.0199999998</v>
      </c>
      <c r="BH54" s="665">
        <v>-93201</v>
      </c>
      <c r="BI54" s="666">
        <v>1606969.0200000003</v>
      </c>
      <c r="BK54" s="663" t="e">
        <f t="shared" ref="BK54:BM54" si="72">BA54-BG54</f>
        <v>#REF!</v>
      </c>
      <c r="BL54" s="663">
        <f t="shared" si="72"/>
        <v>41751</v>
      </c>
      <c r="BM54" s="663" t="e">
        <f t="shared" si="72"/>
        <v>#REF!</v>
      </c>
    </row>
    <row r="55" spans="2:65" ht="10.5" customHeight="1">
      <c r="B55" s="562"/>
      <c r="C55" s="563"/>
      <c r="D55" s="559"/>
      <c r="E55" s="586"/>
      <c r="F55" s="565"/>
      <c r="G55" s="565"/>
      <c r="H55" s="559"/>
      <c r="I55" s="586"/>
      <c r="J55" s="565"/>
      <c r="K55" s="565"/>
      <c r="L55" s="559"/>
      <c r="M55" s="586"/>
      <c r="N55" s="565"/>
      <c r="O55" s="565"/>
      <c r="P55" s="559"/>
      <c r="Q55" s="586"/>
      <c r="R55" s="565"/>
      <c r="S55" s="565"/>
      <c r="T55" s="559"/>
      <c r="U55" s="586"/>
      <c r="V55" s="565"/>
      <c r="W55" s="565"/>
      <c r="X55" s="559"/>
      <c r="Y55" s="586"/>
      <c r="Z55" s="565"/>
      <c r="AA55" s="565"/>
      <c r="AB55" s="559"/>
      <c r="AC55" s="586"/>
      <c r="AD55" s="565"/>
      <c r="AE55" s="565"/>
      <c r="AF55" s="559"/>
      <c r="AG55" s="586"/>
      <c r="AH55" s="565"/>
      <c r="AI55" s="565"/>
      <c r="AJ55" s="559"/>
      <c r="AK55" s="586"/>
      <c r="AL55" s="565"/>
      <c r="AM55" s="565"/>
      <c r="AN55" s="559"/>
      <c r="AO55" s="586"/>
      <c r="AP55" s="565"/>
      <c r="AQ55" s="565"/>
      <c r="AR55" s="559"/>
      <c r="AS55" s="586"/>
      <c r="AT55" s="565"/>
      <c r="AU55" s="565"/>
      <c r="AV55" s="559"/>
      <c r="AW55" s="586"/>
      <c r="AX55" s="565"/>
      <c r="AY55" s="565"/>
      <c r="AZ55" s="559"/>
      <c r="BA55" s="564"/>
      <c r="BB55" s="565"/>
      <c r="BC55" s="565"/>
      <c r="BD55" s="560"/>
      <c r="BE55" s="566"/>
      <c r="BG55" s="667"/>
      <c r="BH55" s="668"/>
      <c r="BI55" s="668"/>
      <c r="BK55" s="667"/>
      <c r="BL55" s="668"/>
      <c r="BM55" s="668"/>
    </row>
    <row r="56" spans="2:65" ht="20.100000000000001" customHeight="1">
      <c r="B56" s="567"/>
      <c r="C56" s="567"/>
      <c r="D56" s="559"/>
      <c r="E56" s="568"/>
      <c r="F56" s="568"/>
      <c r="G56" s="568"/>
      <c r="H56" s="559"/>
      <c r="I56" s="568"/>
      <c r="J56" s="568"/>
      <c r="K56" s="568"/>
      <c r="L56" s="559"/>
      <c r="M56" s="568"/>
      <c r="N56" s="568"/>
      <c r="O56" s="568"/>
      <c r="P56" s="559"/>
      <c r="Q56" s="568"/>
      <c r="R56" s="568"/>
      <c r="S56" s="568"/>
      <c r="T56" s="559"/>
      <c r="U56" s="568"/>
      <c r="V56" s="568"/>
      <c r="W56" s="568"/>
      <c r="X56" s="559"/>
      <c r="Y56" s="568"/>
      <c r="Z56" s="568"/>
      <c r="AA56" s="568"/>
      <c r="AB56" s="559"/>
      <c r="AC56" s="568"/>
      <c r="AD56" s="568"/>
      <c r="AE56" s="568"/>
      <c r="AF56" s="559"/>
      <c r="AG56" s="568"/>
      <c r="AH56" s="568"/>
      <c r="AI56" s="568"/>
      <c r="AJ56" s="559"/>
      <c r="AK56" s="568"/>
      <c r="AL56" s="568"/>
      <c r="AM56" s="568"/>
      <c r="AN56" s="559"/>
      <c r="AO56" s="568"/>
      <c r="AP56" s="568"/>
      <c r="AQ56" s="568"/>
      <c r="AR56" s="559"/>
      <c r="AS56" s="568"/>
      <c r="AT56" s="568"/>
      <c r="AU56" s="568"/>
      <c r="AV56" s="559"/>
      <c r="AW56" s="568"/>
      <c r="AX56" s="568"/>
      <c r="AY56" s="568"/>
      <c r="AZ56" s="559"/>
      <c r="BA56" s="568"/>
      <c r="BB56" s="568"/>
      <c r="BC56" s="568"/>
      <c r="BD56" s="560"/>
      <c r="BE56" s="569"/>
      <c r="BG56" s="568"/>
      <c r="BH56" s="568"/>
      <c r="BI56" s="568"/>
      <c r="BK56" s="568"/>
      <c r="BL56" s="568"/>
      <c r="BM56" s="568"/>
    </row>
  </sheetData>
  <mergeCells count="16">
    <mergeCell ref="BG10:BI10"/>
    <mergeCell ref="BK10:BM10"/>
    <mergeCell ref="U10:W10"/>
    <mergeCell ref="Y10:AA10"/>
    <mergeCell ref="E10:G10"/>
    <mergeCell ref="I10:K10"/>
    <mergeCell ref="M10:O10"/>
    <mergeCell ref="Q10:S10"/>
    <mergeCell ref="BE10:BE12"/>
    <mergeCell ref="BA10:BC10"/>
    <mergeCell ref="AC10:AE10"/>
    <mergeCell ref="AG10:AI10"/>
    <mergeCell ref="AK10:AM10"/>
    <mergeCell ref="AO10:AQ10"/>
    <mergeCell ref="AS10:AU10"/>
    <mergeCell ref="AW10:AY10"/>
  </mergeCells>
  <phoneticPr fontId="20" type="noConversion"/>
  <printOptions horizontalCentered="1"/>
  <pageMargins left="0.25" right="0.25" top="0.5" bottom="0.5" header="0.5" footer="0.25"/>
  <pageSetup scale="45" fitToHeight="0" orientation="landscape" r:id="rId1"/>
  <headerFooter alignWithMargins="0">
    <oddFooter>&amp;RPage &amp;P
&amp;D</oddFooter>
  </headerFooter>
  <colBreaks count="3" manualBreakCount="3">
    <brk id="8" min="4" max="55" man="1"/>
    <brk id="11" min="4" max="55" man="1"/>
    <brk id="52" min="4" max="55" man="1"/>
  </colBreaks>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B1:W47"/>
  <sheetViews>
    <sheetView zoomScale="80" zoomScaleNormal="80" workbookViewId="0">
      <pane xSplit="4" ySplit="8" topLeftCell="E9" activePane="bottomRight" state="frozen"/>
      <selection activeCell="B43" sqref="B43:B53"/>
      <selection pane="topRight" activeCell="B43" sqref="B43:B53"/>
      <selection pane="bottomLeft" activeCell="B43" sqref="B43:B53"/>
      <selection pane="bottomRight" activeCell="J43" sqref="J43"/>
    </sheetView>
  </sheetViews>
  <sheetFormatPr defaultColWidth="9.109375" defaultRowHeight="15"/>
  <cols>
    <col min="1" max="1" width="2" style="1" customWidth="1"/>
    <col min="2" max="2" width="37.6640625" style="1" customWidth="1"/>
    <col min="3" max="3" width="36" style="1" bestFit="1" customWidth="1"/>
    <col min="4" max="4" width="2.33203125" style="526" customWidth="1"/>
    <col min="5" max="5" width="13.33203125" style="1" bestFit="1" customWidth="1"/>
    <col min="6" max="6" width="13.33203125" style="1" customWidth="1"/>
    <col min="7" max="9" width="12.44140625" style="1" customWidth="1"/>
    <col min="10" max="10" width="13.44140625" style="1" customWidth="1"/>
    <col min="11" max="16" width="12.44140625" style="1" hidden="1" customWidth="1"/>
    <col min="17" max="17" width="1.88671875" style="526" customWidth="1"/>
    <col min="18" max="18" width="14.109375" style="1" bestFit="1" customWidth="1"/>
    <col min="19" max="19" width="1.88671875" style="526" customWidth="1"/>
    <col min="20" max="20" width="14.109375" style="1" bestFit="1" customWidth="1"/>
    <col min="21" max="21" width="1.88671875" style="526" customWidth="1"/>
    <col min="22" max="22" width="15" style="1" bestFit="1" customWidth="1"/>
    <col min="23" max="23" width="9.109375" style="526" customWidth="1"/>
    <col min="24" max="16384" width="9.109375" style="1"/>
  </cols>
  <sheetData>
    <row r="1" spans="2:22" ht="21" customHeight="1">
      <c r="B1" s="529" t="s">
        <v>19</v>
      </c>
      <c r="C1" s="530" t="str">
        <f>Trips!B3</f>
        <v>FY 2020</v>
      </c>
    </row>
    <row r="2" spans="2:22" ht="21" customHeight="1">
      <c r="B2" s="531" t="s">
        <v>86</v>
      </c>
      <c r="C2" s="532" t="s">
        <v>230</v>
      </c>
    </row>
    <row r="3" spans="2:22" ht="7.5" customHeight="1"/>
    <row r="4" spans="2:22" ht="33" customHeight="1">
      <c r="B4" s="988" t="s">
        <v>231</v>
      </c>
      <c r="C4" s="989"/>
    </row>
    <row r="5" spans="2:22" ht="7.5" customHeight="1">
      <c r="B5" s="533"/>
      <c r="C5" s="533"/>
    </row>
    <row r="6" spans="2:22" ht="15.6">
      <c r="B6" s="534"/>
      <c r="C6" s="534"/>
      <c r="D6" s="535"/>
      <c r="E6" s="570" t="s">
        <v>8</v>
      </c>
      <c r="F6" s="571" t="s">
        <v>78</v>
      </c>
      <c r="G6" s="571" t="s">
        <v>79</v>
      </c>
      <c r="H6" s="571" t="s">
        <v>80</v>
      </c>
      <c r="I6" s="571" t="s">
        <v>81</v>
      </c>
      <c r="J6" s="571" t="s">
        <v>82</v>
      </c>
      <c r="K6" s="571" t="s">
        <v>83</v>
      </c>
      <c r="L6" s="571" t="s">
        <v>84</v>
      </c>
      <c r="M6" s="571" t="s">
        <v>85</v>
      </c>
      <c r="N6" s="571" t="s">
        <v>4</v>
      </c>
      <c r="O6" s="571" t="s">
        <v>5</v>
      </c>
      <c r="P6" s="571" t="s">
        <v>6</v>
      </c>
      <c r="Q6" s="539"/>
      <c r="R6" s="572" t="s">
        <v>7</v>
      </c>
      <c r="T6" s="661" t="e">
        <f>Trips!#REF!</f>
        <v>#REF!</v>
      </c>
      <c r="V6" s="662" t="e">
        <f>Trips!#REF!</f>
        <v>#REF!</v>
      </c>
    </row>
    <row r="7" spans="2:22" ht="15.6">
      <c r="B7" s="537" t="s">
        <v>117</v>
      </c>
      <c r="C7" s="538" t="s">
        <v>118</v>
      </c>
      <c r="D7" s="539"/>
      <c r="E7" s="573" t="s">
        <v>232</v>
      </c>
      <c r="F7" s="573" t="s">
        <v>232</v>
      </c>
      <c r="G7" s="573" t="s">
        <v>232</v>
      </c>
      <c r="H7" s="573" t="s">
        <v>232</v>
      </c>
      <c r="I7" s="573" t="s">
        <v>232</v>
      </c>
      <c r="J7" s="573" t="s">
        <v>232</v>
      </c>
      <c r="K7" s="573" t="s">
        <v>232</v>
      </c>
      <c r="L7" s="573" t="s">
        <v>232</v>
      </c>
      <c r="M7" s="573" t="s">
        <v>232</v>
      </c>
      <c r="N7" s="573" t="s">
        <v>232</v>
      </c>
      <c r="O7" s="573" t="s">
        <v>232</v>
      </c>
      <c r="P7" s="573" t="s">
        <v>232</v>
      </c>
      <c r="Q7" s="539"/>
      <c r="R7" s="540" t="s">
        <v>233</v>
      </c>
      <c r="T7" s="540" t="s">
        <v>233</v>
      </c>
      <c r="V7" s="540" t="s">
        <v>233</v>
      </c>
    </row>
    <row r="8" spans="2:22" ht="15.6">
      <c r="B8" s="541" t="s">
        <v>119</v>
      </c>
      <c r="C8" s="541"/>
      <c r="D8" s="542"/>
      <c r="E8" s="574" t="s">
        <v>157</v>
      </c>
      <c r="F8" s="574" t="s">
        <v>157</v>
      </c>
      <c r="G8" s="574" t="s">
        <v>157</v>
      </c>
      <c r="H8" s="574" t="s">
        <v>157</v>
      </c>
      <c r="I8" s="574" t="s">
        <v>157</v>
      </c>
      <c r="J8" s="574" t="s">
        <v>157</v>
      </c>
      <c r="K8" s="574" t="s">
        <v>157</v>
      </c>
      <c r="L8" s="574" t="s">
        <v>157</v>
      </c>
      <c r="M8" s="574" t="s">
        <v>157</v>
      </c>
      <c r="N8" s="574" t="s">
        <v>157</v>
      </c>
      <c r="O8" s="574" t="s">
        <v>157</v>
      </c>
      <c r="P8" s="574" t="s">
        <v>157</v>
      </c>
      <c r="Q8" s="542"/>
      <c r="R8" s="540" t="s">
        <v>234</v>
      </c>
      <c r="T8" s="540" t="s">
        <v>234</v>
      </c>
      <c r="V8" s="540" t="s">
        <v>234</v>
      </c>
    </row>
    <row r="9" spans="2:22" ht="20.100000000000001" hidden="1" customHeight="1">
      <c r="B9" s="544" t="s">
        <v>127</v>
      </c>
      <c r="C9" s="544" t="s">
        <v>128</v>
      </c>
      <c r="D9" s="545"/>
      <c r="E9" s="587"/>
      <c r="F9" s="587"/>
      <c r="G9" s="587"/>
      <c r="H9" s="587"/>
      <c r="I9" s="587"/>
      <c r="J9" s="587"/>
      <c r="K9" s="587"/>
      <c r="L9" s="587"/>
      <c r="M9" s="587"/>
      <c r="N9" s="587"/>
      <c r="O9" s="587"/>
      <c r="P9" s="587"/>
      <c r="Q9" s="673"/>
      <c r="R9" s="588">
        <f>SUM(E9:P9)</f>
        <v>0</v>
      </c>
      <c r="T9" s="588">
        <f>SUM(G9:R9)</f>
        <v>0</v>
      </c>
      <c r="V9" s="588">
        <f>SUM(I9:T9)</f>
        <v>0</v>
      </c>
    </row>
    <row r="10" spans="2:22" ht="20.100000000000001" hidden="1" customHeight="1">
      <c r="B10" s="544" t="s">
        <v>129</v>
      </c>
      <c r="C10" s="544" t="s">
        <v>130</v>
      </c>
      <c r="D10" s="545"/>
      <c r="E10" s="587"/>
      <c r="F10" s="587"/>
      <c r="G10" s="587"/>
      <c r="H10" s="587"/>
      <c r="I10" s="587"/>
      <c r="J10" s="587"/>
      <c r="K10" s="587"/>
      <c r="L10" s="587"/>
      <c r="M10" s="587"/>
      <c r="N10" s="587"/>
      <c r="O10" s="587"/>
      <c r="P10" s="587"/>
      <c r="Q10" s="673"/>
      <c r="R10" s="588">
        <f>SUM(E10:P10)</f>
        <v>0</v>
      </c>
      <c r="T10" s="588">
        <f>SUM(G10:R10)</f>
        <v>0</v>
      </c>
      <c r="V10" s="588">
        <f>SUM(I10:T10)</f>
        <v>0</v>
      </c>
    </row>
    <row r="11" spans="2:22" ht="20.100000000000001" hidden="1" customHeight="1">
      <c r="B11" s="544" t="s">
        <v>132</v>
      </c>
      <c r="C11" s="544" t="s">
        <v>128</v>
      </c>
      <c r="D11" s="545"/>
      <c r="E11" s="587"/>
      <c r="F11" s="587"/>
      <c r="G11" s="587"/>
      <c r="H11" s="587"/>
      <c r="I11" s="587"/>
      <c r="J11" s="587"/>
      <c r="K11" s="587"/>
      <c r="L11" s="587"/>
      <c r="M11" s="587"/>
      <c r="N11" s="587"/>
      <c r="O11" s="587"/>
      <c r="P11" s="587"/>
      <c r="Q11" s="673"/>
      <c r="R11" s="588">
        <f t="shared" ref="R11:V42" si="0">SUM(E11:P11)</f>
        <v>0</v>
      </c>
      <c r="T11" s="588">
        <f t="shared" si="0"/>
        <v>0</v>
      </c>
      <c r="V11" s="588">
        <f t="shared" si="0"/>
        <v>0</v>
      </c>
    </row>
    <row r="12" spans="2:22" ht="20.100000000000001" customHeight="1">
      <c r="B12" s="544" t="s">
        <v>240</v>
      </c>
      <c r="C12" s="549" t="s">
        <v>304</v>
      </c>
      <c r="D12" s="545"/>
      <c r="E12" s="587">
        <v>8621.99</v>
      </c>
      <c r="F12" s="587">
        <v>8389.92</v>
      </c>
      <c r="G12" s="587">
        <v>8181.21</v>
      </c>
      <c r="H12" s="587">
        <v>8443.5</v>
      </c>
      <c r="I12" s="587">
        <v>7275.47</v>
      </c>
      <c r="J12" s="587">
        <v>7113.27</v>
      </c>
      <c r="K12" s="587"/>
      <c r="L12" s="587"/>
      <c r="M12" s="587"/>
      <c r="N12" s="587"/>
      <c r="O12" s="587"/>
      <c r="P12" s="587"/>
      <c r="Q12" s="673"/>
      <c r="R12" s="588">
        <f t="shared" si="0"/>
        <v>48025.36</v>
      </c>
      <c r="T12" s="669">
        <v>45778.920000000006</v>
      </c>
      <c r="V12" s="669">
        <f>R12-T12</f>
        <v>2246.4399999999951</v>
      </c>
    </row>
    <row r="13" spans="2:22" ht="20.100000000000001" hidden="1" customHeight="1">
      <c r="B13" s="544" t="s">
        <v>120</v>
      </c>
      <c r="C13" s="544" t="s">
        <v>149</v>
      </c>
      <c r="D13" s="545"/>
      <c r="E13" s="587"/>
      <c r="F13" s="587"/>
      <c r="G13" s="587"/>
      <c r="H13" s="587"/>
      <c r="I13" s="587"/>
      <c r="J13" s="587"/>
      <c r="K13" s="587"/>
      <c r="L13" s="587"/>
      <c r="M13" s="587"/>
      <c r="N13" s="587"/>
      <c r="O13" s="587"/>
      <c r="P13" s="587"/>
      <c r="Q13" s="673"/>
      <c r="R13" s="588">
        <f t="shared" si="0"/>
        <v>0</v>
      </c>
      <c r="T13" s="588">
        <f t="shared" si="0"/>
        <v>0</v>
      </c>
      <c r="V13" s="588">
        <f t="shared" si="0"/>
        <v>0</v>
      </c>
    </row>
    <row r="14" spans="2:22" ht="20.100000000000001" hidden="1" customHeight="1">
      <c r="B14" s="544" t="s">
        <v>120</v>
      </c>
      <c r="C14" s="544" t="s">
        <v>150</v>
      </c>
      <c r="D14" s="545"/>
      <c r="E14" s="587"/>
      <c r="F14" s="587"/>
      <c r="G14" s="587"/>
      <c r="H14" s="587"/>
      <c r="I14" s="587"/>
      <c r="J14" s="587"/>
      <c r="K14" s="587"/>
      <c r="L14" s="587"/>
      <c r="M14" s="587"/>
      <c r="N14" s="587"/>
      <c r="O14" s="587"/>
      <c r="P14" s="587"/>
      <c r="Q14" s="673"/>
      <c r="R14" s="588">
        <f t="shared" si="0"/>
        <v>0</v>
      </c>
      <c r="T14" s="588">
        <f t="shared" si="0"/>
        <v>0</v>
      </c>
      <c r="V14" s="588">
        <f t="shared" si="0"/>
        <v>0</v>
      </c>
    </row>
    <row r="15" spans="2:22" ht="20.100000000000001" hidden="1" customHeight="1">
      <c r="B15" s="544" t="s">
        <v>120</v>
      </c>
      <c r="C15" s="544" t="s">
        <v>151</v>
      </c>
      <c r="D15" s="545"/>
      <c r="E15" s="587"/>
      <c r="F15" s="587"/>
      <c r="G15" s="587"/>
      <c r="H15" s="587"/>
      <c r="I15" s="587"/>
      <c r="J15" s="587"/>
      <c r="K15" s="587"/>
      <c r="L15" s="587"/>
      <c r="M15" s="587"/>
      <c r="N15" s="589"/>
      <c r="O15" s="587"/>
      <c r="P15" s="587"/>
      <c r="Q15" s="673"/>
      <c r="R15" s="588">
        <f t="shared" si="0"/>
        <v>0</v>
      </c>
      <c r="T15" s="588">
        <f t="shared" si="0"/>
        <v>0</v>
      </c>
      <c r="V15" s="588">
        <f t="shared" si="0"/>
        <v>0</v>
      </c>
    </row>
    <row r="16" spans="2:22" ht="20.100000000000001" hidden="1" customHeight="1">
      <c r="B16" s="544" t="s">
        <v>120</v>
      </c>
      <c r="C16" s="544" t="s">
        <v>134</v>
      </c>
      <c r="D16" s="545"/>
      <c r="E16" s="587"/>
      <c r="F16" s="587"/>
      <c r="G16" s="587"/>
      <c r="H16" s="587"/>
      <c r="I16" s="587"/>
      <c r="J16" s="587"/>
      <c r="K16" s="587"/>
      <c r="L16" s="587"/>
      <c r="M16" s="587"/>
      <c r="N16" s="587"/>
      <c r="O16" s="587"/>
      <c r="P16" s="587"/>
      <c r="Q16" s="673"/>
      <c r="R16" s="588">
        <f t="shared" si="0"/>
        <v>0</v>
      </c>
      <c r="T16" s="588">
        <f t="shared" si="0"/>
        <v>0</v>
      </c>
      <c r="V16" s="588">
        <f t="shared" si="0"/>
        <v>0</v>
      </c>
    </row>
    <row r="17" spans="2:22" ht="20.100000000000001" hidden="1" customHeight="1">
      <c r="B17" s="544" t="s">
        <v>120</v>
      </c>
      <c r="C17" s="544" t="s">
        <v>135</v>
      </c>
      <c r="D17" s="545"/>
      <c r="E17" s="587"/>
      <c r="F17" s="587"/>
      <c r="G17" s="587"/>
      <c r="H17" s="587"/>
      <c r="I17" s="587"/>
      <c r="J17" s="587"/>
      <c r="K17" s="587"/>
      <c r="L17" s="587"/>
      <c r="M17" s="587"/>
      <c r="N17" s="587"/>
      <c r="O17" s="587"/>
      <c r="P17" s="587"/>
      <c r="Q17" s="673"/>
      <c r="R17" s="588">
        <f t="shared" si="0"/>
        <v>0</v>
      </c>
      <c r="T17" s="588">
        <f t="shared" si="0"/>
        <v>0</v>
      </c>
      <c r="V17" s="588">
        <f t="shared" si="0"/>
        <v>0</v>
      </c>
    </row>
    <row r="18" spans="2:22" ht="20.100000000000001" hidden="1" customHeight="1">
      <c r="B18" s="544" t="s">
        <v>120</v>
      </c>
      <c r="C18" s="544" t="s">
        <v>136</v>
      </c>
      <c r="D18" s="545"/>
      <c r="E18" s="587"/>
      <c r="F18" s="587"/>
      <c r="G18" s="587"/>
      <c r="H18" s="587"/>
      <c r="I18" s="587"/>
      <c r="J18" s="587"/>
      <c r="K18" s="587"/>
      <c r="L18" s="587"/>
      <c r="M18" s="587"/>
      <c r="N18" s="587"/>
      <c r="O18" s="587"/>
      <c r="P18" s="587"/>
      <c r="Q18" s="673"/>
      <c r="R18" s="588">
        <f t="shared" si="0"/>
        <v>0</v>
      </c>
      <c r="T18" s="588">
        <f t="shared" si="0"/>
        <v>0</v>
      </c>
      <c r="V18" s="588">
        <f t="shared" si="0"/>
        <v>0</v>
      </c>
    </row>
    <row r="19" spans="2:22" ht="20.100000000000001" hidden="1" customHeight="1">
      <c r="B19" s="544" t="s">
        <v>120</v>
      </c>
      <c r="C19" s="544" t="s">
        <v>32</v>
      </c>
      <c r="D19" s="545"/>
      <c r="E19" s="587"/>
      <c r="F19" s="587"/>
      <c r="G19" s="587"/>
      <c r="H19" s="587"/>
      <c r="I19" s="587"/>
      <c r="J19" s="587"/>
      <c r="K19" s="587"/>
      <c r="L19" s="587"/>
      <c r="M19" s="587"/>
      <c r="N19" s="587"/>
      <c r="O19" s="587"/>
      <c r="P19" s="587"/>
      <c r="Q19" s="673"/>
      <c r="R19" s="588">
        <f t="shared" si="0"/>
        <v>0</v>
      </c>
      <c r="T19" s="588">
        <f t="shared" si="0"/>
        <v>0</v>
      </c>
      <c r="V19" s="588">
        <f t="shared" si="0"/>
        <v>0</v>
      </c>
    </row>
    <row r="20" spans="2:22" ht="20.100000000000001" hidden="1" customHeight="1">
      <c r="B20" s="544" t="s">
        <v>123</v>
      </c>
      <c r="C20" s="544" t="s">
        <v>124</v>
      </c>
      <c r="D20" s="545"/>
      <c r="E20" s="587"/>
      <c r="F20" s="587"/>
      <c r="G20" s="587"/>
      <c r="H20" s="587"/>
      <c r="I20" s="587"/>
      <c r="J20" s="587"/>
      <c r="K20" s="587"/>
      <c r="L20" s="587"/>
      <c r="M20" s="587"/>
      <c r="N20" s="587"/>
      <c r="O20" s="587"/>
      <c r="P20" s="587"/>
      <c r="Q20" s="673"/>
      <c r="R20" s="588">
        <f t="shared" si="0"/>
        <v>0</v>
      </c>
      <c r="T20" s="588">
        <f t="shared" si="0"/>
        <v>0</v>
      </c>
      <c r="V20" s="588">
        <f t="shared" si="0"/>
        <v>0</v>
      </c>
    </row>
    <row r="21" spans="2:22" ht="20.100000000000001" hidden="1" customHeight="1">
      <c r="B21" s="544" t="s">
        <v>123</v>
      </c>
      <c r="C21" s="544" t="s">
        <v>125</v>
      </c>
      <c r="D21" s="545"/>
      <c r="E21" s="587"/>
      <c r="F21" s="587"/>
      <c r="G21" s="587"/>
      <c r="H21" s="587"/>
      <c r="I21" s="587"/>
      <c r="J21" s="587"/>
      <c r="K21" s="587"/>
      <c r="L21" s="587"/>
      <c r="M21" s="587"/>
      <c r="N21" s="587"/>
      <c r="O21" s="587"/>
      <c r="P21" s="587"/>
      <c r="Q21" s="673"/>
      <c r="R21" s="588">
        <f t="shared" si="0"/>
        <v>0</v>
      </c>
      <c r="T21" s="588">
        <f t="shared" si="0"/>
        <v>0</v>
      </c>
      <c r="V21" s="588">
        <f t="shared" si="0"/>
        <v>0</v>
      </c>
    </row>
    <row r="22" spans="2:22" ht="20.100000000000001" hidden="1" customHeight="1">
      <c r="B22" s="544" t="s">
        <v>123</v>
      </c>
      <c r="C22" s="544" t="s">
        <v>126</v>
      </c>
      <c r="D22" s="545"/>
      <c r="E22" s="587"/>
      <c r="F22" s="587"/>
      <c r="G22" s="587"/>
      <c r="H22" s="587"/>
      <c r="I22" s="587"/>
      <c r="J22" s="587"/>
      <c r="K22" s="587"/>
      <c r="L22" s="587"/>
      <c r="M22" s="587"/>
      <c r="N22" s="587"/>
      <c r="O22" s="587"/>
      <c r="P22" s="587"/>
      <c r="Q22" s="673"/>
      <c r="R22" s="588">
        <f t="shared" si="0"/>
        <v>0</v>
      </c>
      <c r="T22" s="588">
        <f t="shared" si="0"/>
        <v>0</v>
      </c>
      <c r="V22" s="588">
        <f t="shared" si="0"/>
        <v>0</v>
      </c>
    </row>
    <row r="23" spans="2:22" ht="20.100000000000001" hidden="1" customHeight="1">
      <c r="B23" s="544" t="s">
        <v>17</v>
      </c>
      <c r="C23" s="544" t="s">
        <v>14</v>
      </c>
      <c r="D23" s="545"/>
      <c r="E23" s="587"/>
      <c r="F23" s="587"/>
      <c r="G23" s="587"/>
      <c r="H23" s="587"/>
      <c r="I23" s="587"/>
      <c r="J23" s="587"/>
      <c r="K23" s="587"/>
      <c r="L23" s="587"/>
      <c r="M23" s="587"/>
      <c r="N23" s="589"/>
      <c r="O23" s="587"/>
      <c r="P23" s="587"/>
      <c r="Q23" s="673"/>
      <c r="R23" s="588">
        <f t="shared" si="0"/>
        <v>0</v>
      </c>
      <c r="T23" s="588">
        <f t="shared" si="0"/>
        <v>0</v>
      </c>
      <c r="V23" s="588">
        <f t="shared" si="0"/>
        <v>0</v>
      </c>
    </row>
    <row r="24" spans="2:22" ht="20.100000000000001" hidden="1" customHeight="1">
      <c r="B24" s="544" t="s">
        <v>177</v>
      </c>
      <c r="C24" s="544" t="s">
        <v>14</v>
      </c>
      <c r="D24" s="545"/>
      <c r="E24" s="587"/>
      <c r="F24" s="587"/>
      <c r="G24" s="587"/>
      <c r="H24" s="587"/>
      <c r="I24" s="587"/>
      <c r="J24" s="587"/>
      <c r="K24" s="587"/>
      <c r="L24" s="587"/>
      <c r="M24" s="587"/>
      <c r="N24" s="587"/>
      <c r="O24" s="587"/>
      <c r="P24" s="587"/>
      <c r="Q24" s="673"/>
      <c r="R24" s="588">
        <f t="shared" si="0"/>
        <v>0</v>
      </c>
      <c r="T24" s="588">
        <f t="shared" si="0"/>
        <v>0</v>
      </c>
      <c r="V24" s="588">
        <f t="shared" si="0"/>
        <v>0</v>
      </c>
    </row>
    <row r="25" spans="2:22" ht="20.100000000000001" hidden="1" customHeight="1">
      <c r="B25" s="544" t="s">
        <v>122</v>
      </c>
      <c r="C25" s="544" t="s">
        <v>22</v>
      </c>
      <c r="D25" s="545"/>
      <c r="E25" s="587"/>
      <c r="F25" s="587"/>
      <c r="G25" s="587"/>
      <c r="H25" s="587"/>
      <c r="I25" s="587"/>
      <c r="J25" s="587"/>
      <c r="K25" s="587"/>
      <c r="L25" s="587"/>
      <c r="M25" s="587"/>
      <c r="N25" s="587"/>
      <c r="O25" s="587"/>
      <c r="P25" s="587"/>
      <c r="Q25" s="673"/>
      <c r="R25" s="588">
        <f t="shared" si="0"/>
        <v>0</v>
      </c>
      <c r="T25" s="588">
        <f t="shared" si="0"/>
        <v>0</v>
      </c>
      <c r="V25" s="588">
        <f t="shared" si="0"/>
        <v>0</v>
      </c>
    </row>
    <row r="26" spans="2:22" ht="20.100000000000001" hidden="1" customHeight="1">
      <c r="B26" s="544" t="s">
        <v>95</v>
      </c>
      <c r="C26" s="544" t="s">
        <v>14</v>
      </c>
      <c r="D26" s="545"/>
      <c r="E26" s="587"/>
      <c r="F26" s="587"/>
      <c r="G26" s="587"/>
      <c r="H26" s="587"/>
      <c r="I26" s="587"/>
      <c r="J26" s="587"/>
      <c r="K26" s="587"/>
      <c r="L26" s="587"/>
      <c r="M26" s="587"/>
      <c r="N26" s="587"/>
      <c r="O26" s="587"/>
      <c r="P26" s="587"/>
      <c r="Q26" s="673"/>
      <c r="R26" s="588">
        <f t="shared" si="0"/>
        <v>0</v>
      </c>
      <c r="T26" s="588">
        <f t="shared" si="0"/>
        <v>0</v>
      </c>
      <c r="V26" s="588">
        <f t="shared" si="0"/>
        <v>0</v>
      </c>
    </row>
    <row r="27" spans="2:22" ht="20.100000000000001" hidden="1" customHeight="1">
      <c r="B27" s="544" t="s">
        <v>133</v>
      </c>
      <c r="C27" s="544" t="s">
        <v>152</v>
      </c>
      <c r="D27" s="545"/>
      <c r="E27" s="587"/>
      <c r="F27" s="587"/>
      <c r="G27" s="587"/>
      <c r="H27" s="587"/>
      <c r="I27" s="587"/>
      <c r="J27" s="587"/>
      <c r="K27" s="587"/>
      <c r="L27" s="587"/>
      <c r="M27" s="587"/>
      <c r="N27" s="587"/>
      <c r="O27" s="587"/>
      <c r="P27" s="587"/>
      <c r="Q27" s="673"/>
      <c r="R27" s="588">
        <f t="shared" si="0"/>
        <v>0</v>
      </c>
      <c r="T27" s="588">
        <f t="shared" si="0"/>
        <v>0</v>
      </c>
      <c r="V27" s="588">
        <f t="shared" si="0"/>
        <v>0</v>
      </c>
    </row>
    <row r="28" spans="2:22" ht="20.100000000000001" hidden="1" customHeight="1">
      <c r="B28" s="544" t="s">
        <v>108</v>
      </c>
      <c r="C28" s="544" t="s">
        <v>186</v>
      </c>
      <c r="D28" s="545"/>
      <c r="E28" s="587"/>
      <c r="F28" s="587"/>
      <c r="G28" s="587"/>
      <c r="H28" s="587"/>
      <c r="I28" s="587"/>
      <c r="J28" s="587"/>
      <c r="K28" s="587"/>
      <c r="L28" s="587"/>
      <c r="M28" s="587"/>
      <c r="N28" s="587"/>
      <c r="O28" s="587"/>
      <c r="P28" s="587"/>
      <c r="Q28" s="673"/>
      <c r="R28" s="588">
        <f t="shared" si="0"/>
        <v>0</v>
      </c>
      <c r="T28" s="588">
        <f t="shared" si="0"/>
        <v>0</v>
      </c>
      <c r="V28" s="588">
        <f t="shared" si="0"/>
        <v>0</v>
      </c>
    </row>
    <row r="29" spans="2:22" ht="20.100000000000001" hidden="1" customHeight="1">
      <c r="B29" s="544" t="s">
        <v>121</v>
      </c>
      <c r="C29" s="544" t="s">
        <v>14</v>
      </c>
      <c r="D29" s="545"/>
      <c r="E29" s="587"/>
      <c r="F29" s="587"/>
      <c r="G29" s="587"/>
      <c r="H29" s="587"/>
      <c r="I29" s="587"/>
      <c r="J29" s="587"/>
      <c r="K29" s="587"/>
      <c r="L29" s="587"/>
      <c r="M29" s="587"/>
      <c r="N29" s="587"/>
      <c r="O29" s="587"/>
      <c r="P29" s="587"/>
      <c r="Q29" s="673"/>
      <c r="R29" s="588">
        <f t="shared" si="0"/>
        <v>0</v>
      </c>
      <c r="T29" s="588">
        <f t="shared" si="0"/>
        <v>0</v>
      </c>
      <c r="V29" s="588">
        <f t="shared" si="0"/>
        <v>0</v>
      </c>
    </row>
    <row r="30" spans="2:22" ht="20.100000000000001" hidden="1" customHeight="1">
      <c r="B30" s="544" t="s">
        <v>131</v>
      </c>
      <c r="C30" s="544" t="s">
        <v>23</v>
      </c>
      <c r="D30" s="545"/>
      <c r="E30" s="587"/>
      <c r="F30" s="587"/>
      <c r="G30" s="587"/>
      <c r="H30" s="587"/>
      <c r="I30" s="587"/>
      <c r="J30" s="587"/>
      <c r="K30" s="587"/>
      <c r="L30" s="587"/>
      <c r="M30" s="587"/>
      <c r="N30" s="587"/>
      <c r="O30" s="587"/>
      <c r="P30" s="587"/>
      <c r="Q30" s="673"/>
      <c r="R30" s="588">
        <f t="shared" si="0"/>
        <v>0</v>
      </c>
      <c r="T30" s="588">
        <f t="shared" si="0"/>
        <v>0</v>
      </c>
      <c r="V30" s="588">
        <f t="shared" si="0"/>
        <v>0</v>
      </c>
    </row>
    <row r="31" spans="2:22" ht="20.100000000000001" hidden="1" customHeight="1">
      <c r="B31" s="544" t="s">
        <v>107</v>
      </c>
      <c r="C31" s="544" t="s">
        <v>14</v>
      </c>
      <c r="D31" s="545"/>
      <c r="E31" s="587"/>
      <c r="F31" s="587"/>
      <c r="G31" s="587"/>
      <c r="H31" s="587"/>
      <c r="I31" s="587"/>
      <c r="J31" s="587"/>
      <c r="K31" s="587"/>
      <c r="L31" s="587"/>
      <c r="M31" s="587"/>
      <c r="N31" s="587"/>
      <c r="O31" s="587"/>
      <c r="P31" s="587"/>
      <c r="Q31" s="673"/>
      <c r="R31" s="588">
        <f t="shared" si="0"/>
        <v>0</v>
      </c>
      <c r="T31" s="588">
        <f t="shared" si="0"/>
        <v>0</v>
      </c>
      <c r="V31" s="588">
        <f t="shared" si="0"/>
        <v>0</v>
      </c>
    </row>
    <row r="32" spans="2:22" ht="20.100000000000001" hidden="1" customHeight="1">
      <c r="B32" s="544" t="s">
        <v>31</v>
      </c>
      <c r="C32" s="544" t="s">
        <v>23</v>
      </c>
      <c r="D32" s="545"/>
      <c r="E32" s="587"/>
      <c r="F32" s="587"/>
      <c r="G32" s="587"/>
      <c r="H32" s="587"/>
      <c r="I32" s="587"/>
      <c r="J32" s="587"/>
      <c r="K32" s="587"/>
      <c r="L32" s="587"/>
      <c r="M32" s="587"/>
      <c r="N32" s="587"/>
      <c r="O32" s="587"/>
      <c r="P32" s="587"/>
      <c r="Q32" s="673"/>
      <c r="R32" s="588">
        <f t="shared" si="0"/>
        <v>0</v>
      </c>
      <c r="T32" s="588">
        <f t="shared" si="0"/>
        <v>0</v>
      </c>
      <c r="V32" s="588">
        <f t="shared" si="0"/>
        <v>0</v>
      </c>
    </row>
    <row r="33" spans="2:22" ht="20.100000000000001" hidden="1" customHeight="1">
      <c r="B33" s="549" t="s">
        <v>181</v>
      </c>
      <c r="C33" s="549" t="s">
        <v>14</v>
      </c>
      <c r="D33" s="545"/>
      <c r="E33" s="587"/>
      <c r="F33" s="587"/>
      <c r="G33" s="587"/>
      <c r="H33" s="587"/>
      <c r="I33" s="587"/>
      <c r="J33" s="587"/>
      <c r="K33" s="587"/>
      <c r="L33" s="587"/>
      <c r="M33" s="587"/>
      <c r="N33" s="587"/>
      <c r="O33" s="587"/>
      <c r="P33" s="587"/>
      <c r="Q33" s="673"/>
      <c r="R33" s="588">
        <f t="shared" si="0"/>
        <v>0</v>
      </c>
      <c r="T33" s="588">
        <f t="shared" si="0"/>
        <v>0</v>
      </c>
      <c r="V33" s="588">
        <f t="shared" si="0"/>
        <v>0</v>
      </c>
    </row>
    <row r="34" spans="2:22" ht="20.100000000000001" hidden="1" customHeight="1">
      <c r="B34" s="544" t="s">
        <v>120</v>
      </c>
      <c r="C34" s="544" t="s">
        <v>223</v>
      </c>
      <c r="D34" s="545"/>
      <c r="E34" s="587"/>
      <c r="F34" s="587"/>
      <c r="G34" s="587"/>
      <c r="H34" s="587"/>
      <c r="I34" s="587"/>
      <c r="J34" s="587"/>
      <c r="K34" s="587"/>
      <c r="L34" s="587"/>
      <c r="M34" s="587"/>
      <c r="N34" s="587"/>
      <c r="O34" s="587"/>
      <c r="P34" s="587"/>
      <c r="Q34" s="673"/>
      <c r="R34" s="588">
        <f t="shared" si="0"/>
        <v>0</v>
      </c>
      <c r="T34" s="588">
        <f t="shared" si="0"/>
        <v>0</v>
      </c>
      <c r="V34" s="588">
        <f t="shared" si="0"/>
        <v>0</v>
      </c>
    </row>
    <row r="35" spans="2:22" ht="20.100000000000001" hidden="1" customHeight="1">
      <c r="B35" s="549"/>
      <c r="C35" s="549"/>
      <c r="D35" s="545"/>
      <c r="E35" s="587"/>
      <c r="F35" s="587"/>
      <c r="G35" s="587"/>
      <c r="H35" s="587"/>
      <c r="I35" s="587"/>
      <c r="J35" s="587"/>
      <c r="K35" s="587"/>
      <c r="L35" s="587"/>
      <c r="M35" s="587"/>
      <c r="N35" s="587"/>
      <c r="O35" s="587"/>
      <c r="P35" s="587"/>
      <c r="Q35" s="673"/>
      <c r="R35" s="588">
        <f t="shared" si="0"/>
        <v>0</v>
      </c>
      <c r="T35" s="588">
        <f t="shared" si="0"/>
        <v>0</v>
      </c>
      <c r="V35" s="588">
        <f t="shared" si="0"/>
        <v>0</v>
      </c>
    </row>
    <row r="36" spans="2:22" ht="20.100000000000001" hidden="1" customHeight="1">
      <c r="B36" s="548"/>
      <c r="C36" s="549"/>
      <c r="D36" s="545"/>
      <c r="E36" s="587"/>
      <c r="F36" s="587"/>
      <c r="G36" s="587"/>
      <c r="H36" s="587"/>
      <c r="I36" s="587"/>
      <c r="J36" s="587"/>
      <c r="K36" s="587"/>
      <c r="L36" s="587"/>
      <c r="M36" s="587"/>
      <c r="N36" s="587"/>
      <c r="O36" s="587"/>
      <c r="P36" s="587"/>
      <c r="Q36" s="673"/>
      <c r="R36" s="588">
        <f t="shared" si="0"/>
        <v>0</v>
      </c>
      <c r="T36" s="588">
        <f t="shared" si="0"/>
        <v>0</v>
      </c>
      <c r="V36" s="588">
        <f t="shared" si="0"/>
        <v>0</v>
      </c>
    </row>
    <row r="37" spans="2:22" ht="20.100000000000001" hidden="1" customHeight="1">
      <c r="B37" s="548"/>
      <c r="C37" s="549"/>
      <c r="D37" s="545"/>
      <c r="E37" s="587"/>
      <c r="F37" s="587"/>
      <c r="G37" s="587"/>
      <c r="H37" s="587"/>
      <c r="I37" s="587"/>
      <c r="J37" s="587"/>
      <c r="K37" s="587"/>
      <c r="L37" s="587"/>
      <c r="M37" s="587"/>
      <c r="N37" s="587"/>
      <c r="O37" s="587"/>
      <c r="P37" s="587"/>
      <c r="Q37" s="673"/>
      <c r="R37" s="588">
        <f t="shared" si="0"/>
        <v>0</v>
      </c>
      <c r="T37" s="588">
        <f t="shared" si="0"/>
        <v>0</v>
      </c>
      <c r="V37" s="588">
        <f t="shared" si="0"/>
        <v>0</v>
      </c>
    </row>
    <row r="38" spans="2:22" ht="20.100000000000001" hidden="1" customHeight="1">
      <c r="B38" s="548"/>
      <c r="C38" s="548"/>
      <c r="D38" s="545"/>
      <c r="E38" s="587"/>
      <c r="F38" s="587"/>
      <c r="G38" s="587"/>
      <c r="H38" s="587"/>
      <c r="I38" s="587"/>
      <c r="J38" s="587"/>
      <c r="K38" s="587"/>
      <c r="L38" s="587"/>
      <c r="M38" s="587"/>
      <c r="N38" s="587"/>
      <c r="O38" s="587"/>
      <c r="P38" s="587"/>
      <c r="Q38" s="673"/>
      <c r="R38" s="588">
        <f t="shared" si="0"/>
        <v>0</v>
      </c>
      <c r="T38" s="588">
        <f t="shared" si="0"/>
        <v>0</v>
      </c>
      <c r="V38" s="588">
        <f t="shared" si="0"/>
        <v>0</v>
      </c>
    </row>
    <row r="39" spans="2:22" ht="20.100000000000001" hidden="1" customHeight="1">
      <c r="B39" s="548"/>
      <c r="C39" s="549"/>
      <c r="D39" s="545"/>
      <c r="E39" s="587"/>
      <c r="F39" s="587"/>
      <c r="G39" s="587"/>
      <c r="H39" s="587"/>
      <c r="I39" s="587"/>
      <c r="J39" s="587"/>
      <c r="K39" s="587"/>
      <c r="L39" s="587"/>
      <c r="M39" s="587"/>
      <c r="N39" s="587"/>
      <c r="O39" s="587"/>
      <c r="P39" s="587"/>
      <c r="Q39" s="673"/>
      <c r="R39" s="588">
        <f t="shared" si="0"/>
        <v>0</v>
      </c>
      <c r="T39" s="588">
        <f t="shared" si="0"/>
        <v>0</v>
      </c>
      <c r="V39" s="588">
        <f t="shared" si="0"/>
        <v>0</v>
      </c>
    </row>
    <row r="40" spans="2:22" ht="20.100000000000001" hidden="1" customHeight="1">
      <c r="B40" s="549"/>
      <c r="C40" s="549"/>
      <c r="D40" s="545"/>
      <c r="E40" s="587"/>
      <c r="F40" s="587"/>
      <c r="G40" s="587"/>
      <c r="H40" s="587"/>
      <c r="I40" s="587"/>
      <c r="J40" s="587"/>
      <c r="K40" s="587"/>
      <c r="L40" s="587"/>
      <c r="M40" s="587"/>
      <c r="N40" s="587"/>
      <c r="O40" s="587"/>
      <c r="P40" s="587"/>
      <c r="Q40" s="673"/>
      <c r="R40" s="588">
        <f t="shared" si="0"/>
        <v>0</v>
      </c>
      <c r="T40" s="588">
        <f t="shared" si="0"/>
        <v>0</v>
      </c>
      <c r="V40" s="588">
        <f t="shared" si="0"/>
        <v>0</v>
      </c>
    </row>
    <row r="41" spans="2:22" ht="20.100000000000001" hidden="1" customHeight="1">
      <c r="B41" s="549"/>
      <c r="C41" s="549"/>
      <c r="D41" s="545"/>
      <c r="E41" s="590"/>
      <c r="F41" s="590"/>
      <c r="G41" s="590"/>
      <c r="H41" s="590"/>
      <c r="I41" s="590"/>
      <c r="J41" s="590"/>
      <c r="K41" s="590"/>
      <c r="L41" s="590"/>
      <c r="M41" s="590"/>
      <c r="N41" s="590"/>
      <c r="O41" s="590"/>
      <c r="P41" s="590"/>
      <c r="Q41" s="673"/>
      <c r="R41" s="588">
        <f t="shared" si="0"/>
        <v>0</v>
      </c>
      <c r="T41" s="588">
        <f t="shared" si="0"/>
        <v>0</v>
      </c>
      <c r="V41" s="588">
        <f t="shared" si="0"/>
        <v>0</v>
      </c>
    </row>
    <row r="42" spans="2:22" ht="20.100000000000001" hidden="1" customHeight="1">
      <c r="B42" s="544"/>
      <c r="C42" s="544"/>
      <c r="D42" s="545"/>
      <c r="E42" s="590"/>
      <c r="F42" s="590"/>
      <c r="G42" s="590"/>
      <c r="H42" s="590"/>
      <c r="I42" s="590"/>
      <c r="J42" s="590"/>
      <c r="K42" s="590"/>
      <c r="L42" s="590"/>
      <c r="M42" s="590"/>
      <c r="N42" s="590"/>
      <c r="O42" s="590"/>
      <c r="P42" s="590"/>
      <c r="Q42" s="673"/>
      <c r="R42" s="588">
        <f t="shared" si="0"/>
        <v>0</v>
      </c>
      <c r="T42" s="588">
        <f t="shared" si="0"/>
        <v>0</v>
      </c>
      <c r="V42" s="588">
        <f t="shared" si="0"/>
        <v>0</v>
      </c>
    </row>
    <row r="43" spans="2:22" ht="12.75" customHeight="1">
      <c r="B43" s="550"/>
      <c r="C43" s="550"/>
      <c r="D43" s="545"/>
      <c r="E43" s="591"/>
      <c r="F43" s="591"/>
      <c r="G43" s="591"/>
      <c r="H43" s="591"/>
      <c r="I43" s="591"/>
      <c r="J43" s="591"/>
      <c r="K43" s="591"/>
      <c r="L43" s="591"/>
      <c r="M43" s="591"/>
      <c r="N43" s="591"/>
      <c r="O43" s="591"/>
      <c r="P43" s="591"/>
      <c r="Q43" s="673"/>
      <c r="R43" s="591"/>
      <c r="T43" s="591"/>
      <c r="V43" s="591"/>
    </row>
    <row r="44" spans="2:22" ht="12" customHeight="1">
      <c r="B44" s="553"/>
      <c r="C44" s="554"/>
      <c r="D44" s="545"/>
      <c r="E44" s="592"/>
      <c r="F44" s="592"/>
      <c r="G44" s="592"/>
      <c r="H44" s="592"/>
      <c r="I44" s="592"/>
      <c r="J44" s="592"/>
      <c r="K44" s="592"/>
      <c r="L44" s="592"/>
      <c r="M44" s="592"/>
      <c r="N44" s="592"/>
      <c r="O44" s="592"/>
      <c r="P44" s="592"/>
      <c r="Q44" s="673"/>
      <c r="R44" s="592"/>
      <c r="T44" s="670"/>
      <c r="V44" s="670"/>
    </row>
    <row r="45" spans="2:22" ht="20.100000000000001" customHeight="1">
      <c r="B45" s="557" t="s">
        <v>137</v>
      </c>
      <c r="C45" s="558"/>
      <c r="D45" s="559"/>
      <c r="E45" s="593">
        <f t="shared" ref="E45:R45" si="1">SUM(E9:E43)</f>
        <v>8621.99</v>
      </c>
      <c r="F45" s="593">
        <f t="shared" si="1"/>
        <v>8389.92</v>
      </c>
      <c r="G45" s="593">
        <f t="shared" si="1"/>
        <v>8181.21</v>
      </c>
      <c r="H45" s="593">
        <f t="shared" si="1"/>
        <v>8443.5</v>
      </c>
      <c r="I45" s="593">
        <f t="shared" si="1"/>
        <v>7275.47</v>
      </c>
      <c r="J45" s="593">
        <f t="shared" si="1"/>
        <v>7113.27</v>
      </c>
      <c r="K45" s="593">
        <f t="shared" si="1"/>
        <v>0</v>
      </c>
      <c r="L45" s="593">
        <f t="shared" si="1"/>
        <v>0</v>
      </c>
      <c r="M45" s="593">
        <f t="shared" si="1"/>
        <v>0</v>
      </c>
      <c r="N45" s="593">
        <f t="shared" si="1"/>
        <v>0</v>
      </c>
      <c r="O45" s="593">
        <f t="shared" si="1"/>
        <v>0</v>
      </c>
      <c r="P45" s="593">
        <f t="shared" si="1"/>
        <v>0</v>
      </c>
      <c r="Q45" s="674"/>
      <c r="R45" s="593">
        <f t="shared" si="1"/>
        <v>48025.36</v>
      </c>
      <c r="T45" s="671">
        <f t="shared" ref="T45:V45" si="2">SUM(T9:T43)</f>
        <v>45778.920000000006</v>
      </c>
      <c r="V45" s="671">
        <f t="shared" si="2"/>
        <v>2246.4399999999951</v>
      </c>
    </row>
    <row r="46" spans="2:22" ht="12.75" customHeight="1">
      <c r="B46" s="562"/>
      <c r="C46" s="563"/>
      <c r="D46" s="559"/>
      <c r="E46" s="594"/>
      <c r="F46" s="594"/>
      <c r="G46" s="594"/>
      <c r="H46" s="594"/>
      <c r="I46" s="594"/>
      <c r="J46" s="594"/>
      <c r="K46" s="594"/>
      <c r="L46" s="594"/>
      <c r="M46" s="594"/>
      <c r="N46" s="594"/>
      <c r="O46" s="594"/>
      <c r="P46" s="594"/>
      <c r="Q46" s="674"/>
      <c r="R46" s="594"/>
      <c r="T46" s="672"/>
      <c r="V46" s="672"/>
    </row>
    <row r="47" spans="2:22" ht="20.100000000000001" customHeight="1">
      <c r="B47" s="567"/>
      <c r="C47" s="567"/>
      <c r="D47" s="559"/>
      <c r="E47" s="595"/>
      <c r="F47" s="595"/>
      <c r="G47" s="595"/>
      <c r="H47" s="595"/>
      <c r="I47" s="595"/>
      <c r="J47" s="595"/>
      <c r="K47" s="595"/>
      <c r="L47" s="595"/>
      <c r="M47" s="595"/>
      <c r="N47" s="595"/>
      <c r="O47" s="595"/>
      <c r="P47" s="595"/>
      <c r="Q47" s="559"/>
      <c r="R47" s="595"/>
      <c r="T47" s="595"/>
      <c r="V47" s="595"/>
    </row>
  </sheetData>
  <mergeCells count="1">
    <mergeCell ref="B4:C4"/>
  </mergeCells>
  <printOptions horizontalCentered="1"/>
  <pageMargins left="0.25" right="0.25" top="0.75" bottom="0.5" header="0.5" footer="0.25"/>
  <pageSetup scale="86" orientation="landscape" r:id="rId1"/>
  <headerFooter alignWithMargins="0">
    <oddFooter>&amp;RPage &amp;P
&amp;D</oddFooter>
  </headerFooter>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legacy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CR112"/>
  <sheetViews>
    <sheetView zoomScale="90" zoomScaleNormal="90" zoomScaleSheetLayoutView="90" workbookViewId="0">
      <pane xSplit="4" ySplit="16" topLeftCell="AN42" activePane="bottomRight" state="frozen"/>
      <selection activeCell="B43" sqref="B43:B53"/>
      <selection pane="topRight" activeCell="B43" sqref="B43:B53"/>
      <selection pane="bottomLeft" activeCell="B43" sqref="B43:B53"/>
      <selection pane="bottomRight" activeCell="AR10" sqref="AR10"/>
    </sheetView>
  </sheetViews>
  <sheetFormatPr defaultRowHeight="13.2"/>
  <cols>
    <col min="1" max="1" width="2" customWidth="1"/>
    <col min="2" max="2" width="37.6640625" customWidth="1"/>
    <col min="3" max="3" width="48.6640625" bestFit="1" customWidth="1"/>
    <col min="4" max="4" width="2.33203125" style="13" customWidth="1"/>
    <col min="5" max="5" width="7.6640625" hidden="1" customWidth="1"/>
    <col min="6" max="6" width="7.109375" hidden="1" customWidth="1"/>
    <col min="7" max="8" width="7.6640625" hidden="1" customWidth="1"/>
    <col min="9" max="9" width="6" hidden="1" customWidth="1"/>
    <col min="10" max="10" width="9.88671875" hidden="1" customWidth="1"/>
    <col min="11" max="11" width="2" style="13" hidden="1" customWidth="1"/>
    <col min="12" max="12" width="7.109375" hidden="1" customWidth="1"/>
    <col min="13" max="15" width="7.6640625" hidden="1" customWidth="1"/>
    <col min="16" max="16" width="6.6640625" hidden="1" customWidth="1"/>
    <col min="17" max="17" width="9.88671875" hidden="1" customWidth="1"/>
    <col min="18" max="18" width="2" style="13" hidden="1" customWidth="1"/>
    <col min="19" max="19" width="7.6640625" hidden="1" customWidth="1"/>
    <col min="20" max="20" width="7.109375" hidden="1" customWidth="1"/>
    <col min="21" max="21" width="7.6640625" hidden="1" customWidth="1"/>
    <col min="22" max="22" width="7.109375" hidden="1" customWidth="1"/>
    <col min="23" max="23" width="6.6640625" hidden="1" customWidth="1"/>
    <col min="24" max="24" width="9.88671875" hidden="1" customWidth="1"/>
    <col min="25" max="25" width="2" style="13" hidden="1" customWidth="1"/>
    <col min="26" max="29" width="7.109375" hidden="1" customWidth="1"/>
    <col min="30" max="30" width="6" hidden="1" customWidth="1"/>
    <col min="31" max="31" width="9.88671875" hidden="1" customWidth="1"/>
    <col min="32" max="32" width="2" style="13" hidden="1" customWidth="1"/>
    <col min="33" max="36" width="7.109375" hidden="1" customWidth="1"/>
    <col min="37" max="37" width="6.6640625" hidden="1" customWidth="1"/>
    <col min="38" max="38" width="9.88671875" hidden="1" customWidth="1"/>
    <col min="39" max="39" width="2" style="13" hidden="1" customWidth="1"/>
    <col min="40" max="43" width="7.109375" customWidth="1"/>
    <col min="44" max="44" width="6.6640625" bestFit="1" customWidth="1"/>
    <col min="45" max="45" width="9.88671875" customWidth="1"/>
    <col min="46" max="46" width="2" style="13" customWidth="1"/>
    <col min="47" max="50" width="7.109375" hidden="1" customWidth="1"/>
    <col min="51" max="51" width="6" hidden="1" customWidth="1"/>
    <col min="52" max="52" width="9.88671875" hidden="1" customWidth="1"/>
    <col min="53" max="53" width="2" style="13" hidden="1" customWidth="1"/>
    <col min="54" max="57" width="7.109375" hidden="1" customWidth="1"/>
    <col min="58" max="58" width="6" hidden="1" customWidth="1"/>
    <col min="59" max="59" width="9.88671875" hidden="1" customWidth="1"/>
    <col min="60" max="60" width="2.6640625" style="13" hidden="1" customWidth="1"/>
    <col min="61" max="64" width="7.109375" hidden="1" customWidth="1"/>
    <col min="65" max="65" width="6" hidden="1" customWidth="1"/>
    <col min="66" max="66" width="9.88671875" hidden="1" customWidth="1"/>
    <col min="67" max="67" width="2" style="13" hidden="1" customWidth="1"/>
    <col min="68" max="71" width="7.109375" hidden="1" customWidth="1"/>
    <col min="72" max="72" width="6" hidden="1" customWidth="1"/>
    <col min="73" max="73" width="9.88671875" hidden="1" customWidth="1"/>
    <col min="74" max="74" width="2" style="13" hidden="1" customWidth="1"/>
    <col min="75" max="78" width="7.109375" hidden="1" customWidth="1"/>
    <col min="79" max="79" width="6" hidden="1" customWidth="1"/>
    <col min="80" max="80" width="9.88671875" hidden="1" customWidth="1"/>
    <col min="81" max="81" width="2" style="13" hidden="1" customWidth="1"/>
    <col min="82" max="85" width="7.109375" hidden="1" customWidth="1"/>
    <col min="86" max="86" width="6" hidden="1" customWidth="1"/>
    <col min="87" max="87" width="9.88671875" hidden="1" customWidth="1"/>
    <col min="88" max="88" width="2" style="13" hidden="1" customWidth="1"/>
    <col min="89" max="92" width="8.33203125" customWidth="1"/>
    <col min="93" max="93" width="7.109375" bestFit="1" customWidth="1"/>
    <col min="94" max="94" width="11" customWidth="1"/>
    <col min="95" max="95" width="1.5546875" style="36" customWidth="1"/>
    <col min="96" max="96" width="9.109375" style="13" customWidth="1"/>
  </cols>
  <sheetData>
    <row r="1" spans="2:96" ht="13.2" hidden="1" customHeight="1"/>
    <row r="2" spans="2:96" ht="13.2" hidden="1" customHeight="1"/>
    <row r="3" spans="2:96" ht="13.2" hidden="1" customHeight="1"/>
    <row r="4" spans="2:96" ht="13.2" hidden="1" customHeight="1"/>
    <row r="5" spans="2:96" ht="21" customHeight="1">
      <c r="B5" s="33" t="s">
        <v>19</v>
      </c>
      <c r="C5" s="34" t="str">
        <f>Trips!B3</f>
        <v>FY 2020</v>
      </c>
      <c r="F5" s="35"/>
      <c r="G5" s="35"/>
      <c r="H5" s="35"/>
      <c r="I5" s="35"/>
      <c r="M5" s="35"/>
      <c r="N5" s="35"/>
      <c r="O5" s="35"/>
      <c r="P5" s="35"/>
      <c r="T5" s="35"/>
      <c r="U5" s="35"/>
      <c r="V5" s="35"/>
      <c r="W5" s="35"/>
      <c r="AA5" s="35"/>
      <c r="AB5" s="35"/>
      <c r="AC5" s="35"/>
      <c r="AD5" s="35"/>
      <c r="AH5" s="35"/>
      <c r="AI5" s="35"/>
      <c r="AJ5" s="35"/>
      <c r="AK5" s="35"/>
      <c r="AO5" s="35"/>
      <c r="AP5" s="35"/>
      <c r="AQ5" s="35"/>
      <c r="AR5" s="35"/>
      <c r="AV5" s="35"/>
      <c r="AW5" s="35"/>
      <c r="AX5" s="35"/>
      <c r="AY5" s="35"/>
      <c r="BC5" s="35"/>
      <c r="BD5" s="35"/>
      <c r="BE5" s="35"/>
      <c r="BF5" s="35"/>
      <c r="BJ5" s="35"/>
      <c r="BK5" s="35"/>
      <c r="BL5" s="35"/>
      <c r="BM5" s="35"/>
      <c r="BQ5" s="35"/>
      <c r="BR5" s="35"/>
      <c r="BS5" s="35"/>
      <c r="BT5" s="35"/>
      <c r="BX5" s="35"/>
      <c r="BY5" s="35"/>
      <c r="BZ5" s="35"/>
      <c r="CA5" s="35"/>
      <c r="CE5" s="35"/>
      <c r="CF5" s="35"/>
      <c r="CG5" s="35"/>
      <c r="CH5" s="35"/>
      <c r="CL5" s="35"/>
      <c r="CM5" s="35"/>
      <c r="CN5" s="35"/>
      <c r="CO5" s="35"/>
    </row>
    <row r="6" spans="2:96" ht="21" customHeight="1">
      <c r="B6" s="37" t="s">
        <v>86</v>
      </c>
      <c r="C6" s="306" t="s">
        <v>470</v>
      </c>
      <c r="F6" s="35"/>
      <c r="G6" s="35"/>
      <c r="H6" s="35"/>
      <c r="I6" s="35"/>
      <c r="M6" s="35"/>
      <c r="N6" s="35"/>
      <c r="O6" s="35"/>
      <c r="P6" s="35"/>
      <c r="T6" s="35"/>
      <c r="U6" s="35"/>
      <c r="V6" s="35"/>
      <c r="W6" s="35"/>
      <c r="AA6" s="35"/>
      <c r="AB6" s="35"/>
      <c r="AC6" s="35"/>
      <c r="AD6" s="35"/>
      <c r="AH6" s="35"/>
      <c r="AI6" s="35"/>
      <c r="AJ6" s="35"/>
      <c r="AK6" s="35"/>
      <c r="AO6" s="35"/>
      <c r="AP6" s="35"/>
      <c r="AQ6" s="35"/>
      <c r="AR6" s="35"/>
      <c r="AV6" s="35"/>
      <c r="AW6" s="35"/>
      <c r="AX6" s="35"/>
      <c r="AY6" s="35"/>
      <c r="BC6" s="35"/>
      <c r="BD6" s="35"/>
      <c r="BE6" s="35"/>
      <c r="BF6" s="35"/>
      <c r="BJ6" s="35"/>
      <c r="BK6" s="35"/>
      <c r="BL6" s="35"/>
      <c r="BM6" s="35"/>
      <c r="BQ6" s="35"/>
      <c r="BR6" s="35"/>
      <c r="BS6" s="35"/>
      <c r="BT6" s="35"/>
      <c r="BX6" s="35"/>
      <c r="BY6" s="35"/>
      <c r="BZ6" s="35"/>
      <c r="CA6" s="35"/>
      <c r="CE6" s="35"/>
      <c r="CF6" s="35"/>
      <c r="CG6" s="35"/>
      <c r="CH6" s="35"/>
      <c r="CL6" s="35"/>
      <c r="CM6" s="35"/>
      <c r="CN6" s="35"/>
      <c r="CO6" s="35"/>
    </row>
    <row r="7" spans="2:96" ht="7.5" customHeight="1"/>
    <row r="8" spans="2:96" ht="40.950000000000003" hidden="1" customHeight="1">
      <c r="B8" s="1015" t="s">
        <v>170</v>
      </c>
      <c r="C8" s="1016"/>
      <c r="R8"/>
      <c r="Y8"/>
      <c r="AF8"/>
      <c r="AM8"/>
      <c r="AT8"/>
      <c r="BA8"/>
      <c r="BH8"/>
      <c r="BO8"/>
      <c r="BV8"/>
      <c r="CC8"/>
      <c r="CJ8"/>
      <c r="CQ8"/>
      <c r="CR8"/>
    </row>
    <row r="9" spans="2:96" s="13" customFormat="1" ht="11.4" customHeight="1">
      <c r="B9" s="500"/>
      <c r="C9" s="502"/>
    </row>
    <row r="10" spans="2:96" ht="19.2" customHeight="1">
      <c r="B10" s="501" t="s">
        <v>465</v>
      </c>
      <c r="C10" s="503">
        <v>6</v>
      </c>
      <c r="K10"/>
      <c r="R10"/>
      <c r="Y10"/>
      <c r="AF10"/>
      <c r="AM10"/>
      <c r="AT10"/>
      <c r="BA10"/>
      <c r="BH10"/>
      <c r="BO10"/>
      <c r="BV10"/>
      <c r="CC10"/>
      <c r="CJ10"/>
      <c r="CQ10"/>
      <c r="CR10"/>
    </row>
    <row r="11" spans="2:96" ht="7.5" customHeight="1">
      <c r="B11" s="12"/>
      <c r="C11" s="12"/>
    </row>
    <row r="12" spans="2:96">
      <c r="B12" s="310" t="s">
        <v>382</v>
      </c>
      <c r="C12" s="311" t="s">
        <v>383</v>
      </c>
      <c r="K12"/>
      <c r="R12"/>
      <c r="Y12"/>
      <c r="AF12"/>
      <c r="AM12"/>
      <c r="AT12"/>
      <c r="BA12"/>
      <c r="BH12"/>
      <c r="BO12"/>
      <c r="BV12"/>
      <c r="CC12"/>
      <c r="CJ12"/>
      <c r="CQ12"/>
      <c r="CR12"/>
    </row>
    <row r="13" spans="2:96" ht="7.5" customHeight="1">
      <c r="B13" s="12"/>
      <c r="C13" s="12"/>
    </row>
    <row r="14" spans="2:96" ht="13.2" customHeight="1">
      <c r="B14" s="38"/>
      <c r="C14" s="38"/>
      <c r="D14" s="39"/>
      <c r="E14" s="990" t="s">
        <v>8</v>
      </c>
      <c r="F14" s="991"/>
      <c r="G14" s="991"/>
      <c r="H14" s="991"/>
      <c r="I14" s="991"/>
      <c r="J14" s="992"/>
      <c r="K14" s="39"/>
      <c r="L14" s="990" t="s">
        <v>78</v>
      </c>
      <c r="M14" s="991"/>
      <c r="N14" s="991"/>
      <c r="O14" s="991"/>
      <c r="P14" s="991"/>
      <c r="Q14" s="992"/>
      <c r="R14" s="39"/>
      <c r="S14" s="990" t="s">
        <v>79</v>
      </c>
      <c r="T14" s="991"/>
      <c r="U14" s="991"/>
      <c r="V14" s="991"/>
      <c r="W14" s="991"/>
      <c r="X14" s="992"/>
      <c r="Y14" s="39"/>
      <c r="Z14" s="990" t="s">
        <v>80</v>
      </c>
      <c r="AA14" s="991"/>
      <c r="AB14" s="991"/>
      <c r="AC14" s="991"/>
      <c r="AD14" s="991"/>
      <c r="AE14" s="992"/>
      <c r="AF14" s="39"/>
      <c r="AG14" s="990" t="s">
        <v>81</v>
      </c>
      <c r="AH14" s="991"/>
      <c r="AI14" s="991"/>
      <c r="AJ14" s="991"/>
      <c r="AK14" s="991"/>
      <c r="AL14" s="992"/>
      <c r="AM14" s="39"/>
      <c r="AN14" s="990" t="s">
        <v>82</v>
      </c>
      <c r="AO14" s="991"/>
      <c r="AP14" s="991"/>
      <c r="AQ14" s="991"/>
      <c r="AR14" s="991"/>
      <c r="AS14" s="992"/>
      <c r="AT14" s="39"/>
      <c r="AU14" s="990" t="s">
        <v>83</v>
      </c>
      <c r="AV14" s="991"/>
      <c r="AW14" s="991"/>
      <c r="AX14" s="991"/>
      <c r="AY14" s="991"/>
      <c r="AZ14" s="992"/>
      <c r="BA14" s="39"/>
      <c r="BB14" s="990" t="s">
        <v>84</v>
      </c>
      <c r="BC14" s="991"/>
      <c r="BD14" s="991"/>
      <c r="BE14" s="991"/>
      <c r="BF14" s="991"/>
      <c r="BG14" s="992"/>
      <c r="BH14" s="39"/>
      <c r="BI14" s="990" t="s">
        <v>85</v>
      </c>
      <c r="BJ14" s="991"/>
      <c r="BK14" s="991"/>
      <c r="BL14" s="991"/>
      <c r="BM14" s="991"/>
      <c r="BN14" s="992"/>
      <c r="BO14" s="39"/>
      <c r="BP14" s="990" t="s">
        <v>4</v>
      </c>
      <c r="BQ14" s="991"/>
      <c r="BR14" s="991"/>
      <c r="BS14" s="991"/>
      <c r="BT14" s="991"/>
      <c r="BU14" s="992"/>
      <c r="BV14" s="39"/>
      <c r="BW14" s="990" t="s">
        <v>5</v>
      </c>
      <c r="BX14" s="991"/>
      <c r="BY14" s="991"/>
      <c r="BZ14" s="991"/>
      <c r="CA14" s="991"/>
      <c r="CB14" s="992"/>
      <c r="CC14" s="39"/>
      <c r="CD14" s="990" t="s">
        <v>6</v>
      </c>
      <c r="CE14" s="991"/>
      <c r="CF14" s="991"/>
      <c r="CG14" s="991"/>
      <c r="CH14" s="991"/>
      <c r="CI14" s="992"/>
      <c r="CJ14" s="39"/>
      <c r="CK14" s="990" t="s">
        <v>7</v>
      </c>
      <c r="CL14" s="991"/>
      <c r="CM14" s="991"/>
      <c r="CN14" s="991"/>
      <c r="CO14" s="991"/>
      <c r="CP14" s="992"/>
      <c r="CQ14" s="40"/>
    </row>
    <row r="15" spans="2:96" ht="27.6" customHeight="1">
      <c r="B15" s="308" t="s">
        <v>381</v>
      </c>
      <c r="C15" s="41" t="s">
        <v>350</v>
      </c>
      <c r="D15" s="42"/>
      <c r="E15" s="308" t="s">
        <v>380</v>
      </c>
      <c r="F15" s="308" t="s">
        <v>380</v>
      </c>
      <c r="G15" s="308" t="s">
        <v>380</v>
      </c>
      <c r="H15" s="308" t="s">
        <v>380</v>
      </c>
      <c r="I15" s="308" t="s">
        <v>380</v>
      </c>
      <c r="J15" s="43"/>
      <c r="K15" s="42"/>
      <c r="L15" s="308" t="s">
        <v>380</v>
      </c>
      <c r="M15" s="308" t="s">
        <v>380</v>
      </c>
      <c r="N15" s="308" t="s">
        <v>380</v>
      </c>
      <c r="O15" s="308" t="s">
        <v>380</v>
      </c>
      <c r="P15" s="308" t="s">
        <v>380</v>
      </c>
      <c r="Q15" s="43"/>
      <c r="R15" s="42"/>
      <c r="S15" s="308" t="s">
        <v>380</v>
      </c>
      <c r="T15" s="308" t="s">
        <v>380</v>
      </c>
      <c r="U15" s="308" t="s">
        <v>380</v>
      </c>
      <c r="V15" s="308" t="s">
        <v>380</v>
      </c>
      <c r="W15" s="308" t="s">
        <v>380</v>
      </c>
      <c r="X15" s="43"/>
      <c r="Y15" s="42"/>
      <c r="Z15" s="308" t="s">
        <v>380</v>
      </c>
      <c r="AA15" s="308" t="s">
        <v>380</v>
      </c>
      <c r="AB15" s="308" t="s">
        <v>380</v>
      </c>
      <c r="AC15" s="308" t="s">
        <v>380</v>
      </c>
      <c r="AD15" s="308" t="s">
        <v>380</v>
      </c>
      <c r="AE15" s="43"/>
      <c r="AF15" s="42"/>
      <c r="AG15" s="308" t="s">
        <v>380</v>
      </c>
      <c r="AH15" s="308" t="s">
        <v>380</v>
      </c>
      <c r="AI15" s="308" t="s">
        <v>380</v>
      </c>
      <c r="AJ15" s="308" t="s">
        <v>380</v>
      </c>
      <c r="AK15" s="308" t="s">
        <v>380</v>
      </c>
      <c r="AL15" s="43"/>
      <c r="AM15" s="42"/>
      <c r="AN15" s="308" t="s">
        <v>380</v>
      </c>
      <c r="AO15" s="308" t="s">
        <v>380</v>
      </c>
      <c r="AP15" s="308" t="s">
        <v>380</v>
      </c>
      <c r="AQ15" s="308" t="s">
        <v>380</v>
      </c>
      <c r="AR15" s="308" t="s">
        <v>380</v>
      </c>
      <c r="AS15" s="43"/>
      <c r="AT15" s="42"/>
      <c r="AU15" s="308" t="s">
        <v>380</v>
      </c>
      <c r="AV15" s="308" t="s">
        <v>380</v>
      </c>
      <c r="AW15" s="308" t="s">
        <v>380</v>
      </c>
      <c r="AX15" s="308" t="s">
        <v>380</v>
      </c>
      <c r="AY15" s="308" t="s">
        <v>380</v>
      </c>
      <c r="AZ15" s="43"/>
      <c r="BA15" s="42"/>
      <c r="BB15" s="308" t="s">
        <v>380</v>
      </c>
      <c r="BC15" s="308" t="s">
        <v>380</v>
      </c>
      <c r="BD15" s="308" t="s">
        <v>380</v>
      </c>
      <c r="BE15" s="308" t="s">
        <v>380</v>
      </c>
      <c r="BF15" s="308" t="s">
        <v>380</v>
      </c>
      <c r="BG15" s="43"/>
      <c r="BH15" s="42"/>
      <c r="BI15" s="308" t="s">
        <v>380</v>
      </c>
      <c r="BJ15" s="308" t="s">
        <v>380</v>
      </c>
      <c r="BK15" s="308" t="s">
        <v>380</v>
      </c>
      <c r="BL15" s="308" t="s">
        <v>380</v>
      </c>
      <c r="BM15" s="308" t="s">
        <v>380</v>
      </c>
      <c r="BN15" s="43"/>
      <c r="BO15" s="42"/>
      <c r="BP15" s="308" t="s">
        <v>380</v>
      </c>
      <c r="BQ15" s="308" t="s">
        <v>380</v>
      </c>
      <c r="BR15" s="308" t="s">
        <v>380</v>
      </c>
      <c r="BS15" s="308" t="s">
        <v>380</v>
      </c>
      <c r="BT15" s="308" t="s">
        <v>380</v>
      </c>
      <c r="BU15" s="43"/>
      <c r="BV15" s="42"/>
      <c r="BW15" s="308" t="s">
        <v>380</v>
      </c>
      <c r="BX15" s="308" t="s">
        <v>380</v>
      </c>
      <c r="BY15" s="308" t="s">
        <v>380</v>
      </c>
      <c r="BZ15" s="308" t="s">
        <v>380</v>
      </c>
      <c r="CA15" s="308" t="s">
        <v>380</v>
      </c>
      <c r="CB15" s="43"/>
      <c r="CC15" s="42"/>
      <c r="CD15" s="308" t="s">
        <v>380</v>
      </c>
      <c r="CE15" s="308" t="s">
        <v>380</v>
      </c>
      <c r="CF15" s="308" t="s">
        <v>380</v>
      </c>
      <c r="CG15" s="308" t="s">
        <v>380</v>
      </c>
      <c r="CH15" s="308" t="s">
        <v>380</v>
      </c>
      <c r="CI15" s="43"/>
      <c r="CJ15" s="42"/>
      <c r="CK15" s="308" t="s">
        <v>380</v>
      </c>
      <c r="CL15" s="308" t="s">
        <v>380</v>
      </c>
      <c r="CM15" s="308" t="s">
        <v>380</v>
      </c>
      <c r="CN15" s="308" t="s">
        <v>380</v>
      </c>
      <c r="CO15" s="308" t="s">
        <v>380</v>
      </c>
      <c r="CP15" s="43"/>
      <c r="CQ15" s="40"/>
    </row>
    <row r="16" spans="2:96">
      <c r="B16" s="44"/>
      <c r="C16" s="44"/>
      <c r="D16" s="45"/>
      <c r="E16" s="214">
        <v>1</v>
      </c>
      <c r="F16" s="214">
        <v>2</v>
      </c>
      <c r="G16" s="214">
        <v>3</v>
      </c>
      <c r="H16" s="214">
        <v>4</v>
      </c>
      <c r="I16" s="214">
        <v>5</v>
      </c>
      <c r="J16" s="46" t="s">
        <v>20</v>
      </c>
      <c r="K16" s="45"/>
      <c r="L16" s="214">
        <v>1</v>
      </c>
      <c r="M16" s="214">
        <v>2</v>
      </c>
      <c r="N16" s="214">
        <v>3</v>
      </c>
      <c r="O16" s="214">
        <v>4</v>
      </c>
      <c r="P16" s="214">
        <v>5</v>
      </c>
      <c r="Q16" s="46" t="s">
        <v>20</v>
      </c>
      <c r="R16" s="45"/>
      <c r="S16" s="214">
        <v>1</v>
      </c>
      <c r="T16" s="214">
        <v>2</v>
      </c>
      <c r="U16" s="214">
        <v>3</v>
      </c>
      <c r="V16" s="214">
        <v>4</v>
      </c>
      <c r="W16" s="214">
        <v>5</v>
      </c>
      <c r="X16" s="46" t="s">
        <v>20</v>
      </c>
      <c r="Y16" s="45"/>
      <c r="Z16" s="214">
        <v>1</v>
      </c>
      <c r="AA16" s="214">
        <v>2</v>
      </c>
      <c r="AB16" s="214">
        <v>3</v>
      </c>
      <c r="AC16" s="214">
        <v>4</v>
      </c>
      <c r="AD16" s="214">
        <v>5</v>
      </c>
      <c r="AE16" s="46" t="s">
        <v>20</v>
      </c>
      <c r="AF16" s="45"/>
      <c r="AG16" s="214">
        <v>1</v>
      </c>
      <c r="AH16" s="214">
        <v>2</v>
      </c>
      <c r="AI16" s="214">
        <v>3</v>
      </c>
      <c r="AJ16" s="214">
        <v>4</v>
      </c>
      <c r="AK16" s="214">
        <v>5</v>
      </c>
      <c r="AL16" s="46" t="s">
        <v>20</v>
      </c>
      <c r="AM16" s="45"/>
      <c r="AN16" s="214">
        <v>1</v>
      </c>
      <c r="AO16" s="214">
        <v>2</v>
      </c>
      <c r="AP16" s="214">
        <v>3</v>
      </c>
      <c r="AQ16" s="214">
        <v>4</v>
      </c>
      <c r="AR16" s="214">
        <v>5</v>
      </c>
      <c r="AS16" s="46" t="s">
        <v>20</v>
      </c>
      <c r="AT16" s="45"/>
      <c r="AU16" s="214">
        <v>1</v>
      </c>
      <c r="AV16" s="214">
        <v>2</v>
      </c>
      <c r="AW16" s="214">
        <v>3</v>
      </c>
      <c r="AX16" s="214">
        <v>4</v>
      </c>
      <c r="AY16" s="214">
        <v>5</v>
      </c>
      <c r="AZ16" s="46" t="s">
        <v>20</v>
      </c>
      <c r="BA16" s="45"/>
      <c r="BB16" s="214">
        <v>1</v>
      </c>
      <c r="BC16" s="214">
        <v>2</v>
      </c>
      <c r="BD16" s="214">
        <v>3</v>
      </c>
      <c r="BE16" s="214">
        <v>4</v>
      </c>
      <c r="BF16" s="214">
        <v>5</v>
      </c>
      <c r="BG16" s="46" t="s">
        <v>20</v>
      </c>
      <c r="BH16" s="45"/>
      <c r="BI16" s="214">
        <v>1</v>
      </c>
      <c r="BJ16" s="214">
        <v>2</v>
      </c>
      <c r="BK16" s="214">
        <v>3</v>
      </c>
      <c r="BL16" s="214">
        <v>4</v>
      </c>
      <c r="BM16" s="214">
        <v>5</v>
      </c>
      <c r="BN16" s="46" t="s">
        <v>20</v>
      </c>
      <c r="BO16" s="45"/>
      <c r="BP16" s="214">
        <v>1</v>
      </c>
      <c r="BQ16" s="214">
        <v>2</v>
      </c>
      <c r="BR16" s="214">
        <v>3</v>
      </c>
      <c r="BS16" s="214">
        <v>4</v>
      </c>
      <c r="BT16" s="214">
        <v>5</v>
      </c>
      <c r="BU16" s="46" t="s">
        <v>20</v>
      </c>
      <c r="BV16" s="45"/>
      <c r="BW16" s="214">
        <v>1</v>
      </c>
      <c r="BX16" s="214">
        <v>2</v>
      </c>
      <c r="BY16" s="214">
        <v>3</v>
      </c>
      <c r="BZ16" s="214">
        <v>4</v>
      </c>
      <c r="CA16" s="214">
        <v>5</v>
      </c>
      <c r="CB16" s="46" t="s">
        <v>20</v>
      </c>
      <c r="CC16" s="45"/>
      <c r="CD16" s="214">
        <v>1</v>
      </c>
      <c r="CE16" s="214">
        <v>2</v>
      </c>
      <c r="CF16" s="214">
        <v>3</v>
      </c>
      <c r="CG16" s="214">
        <v>4</v>
      </c>
      <c r="CH16" s="214">
        <v>5</v>
      </c>
      <c r="CI16" s="46" t="s">
        <v>20</v>
      </c>
      <c r="CJ16" s="45"/>
      <c r="CK16" s="214">
        <v>1</v>
      </c>
      <c r="CL16" s="214">
        <v>2</v>
      </c>
      <c r="CM16" s="214">
        <v>3</v>
      </c>
      <c r="CN16" s="214">
        <v>4</v>
      </c>
      <c r="CO16" s="214">
        <v>5</v>
      </c>
      <c r="CP16" s="46" t="s">
        <v>20</v>
      </c>
      <c r="CQ16" s="40"/>
    </row>
    <row r="17" spans="2:95" ht="20.100000000000001" customHeight="1">
      <c r="B17" s="993" t="s">
        <v>352</v>
      </c>
      <c r="C17" s="309" t="s">
        <v>42</v>
      </c>
      <c r="D17" s="47"/>
      <c r="E17" s="51">
        <v>702</v>
      </c>
      <c r="F17" s="51">
        <v>941</v>
      </c>
      <c r="G17" s="51">
        <v>887</v>
      </c>
      <c r="H17" s="51">
        <v>917</v>
      </c>
      <c r="I17" s="51"/>
      <c r="J17" s="48">
        <f>SUM(E17:I17)</f>
        <v>3447</v>
      </c>
      <c r="K17" s="47"/>
      <c r="L17" s="51">
        <v>934</v>
      </c>
      <c r="M17" s="51">
        <v>748</v>
      </c>
      <c r="N17" s="51">
        <v>993</v>
      </c>
      <c r="O17" s="51">
        <v>839</v>
      </c>
      <c r="P17" s="51">
        <v>939</v>
      </c>
      <c r="Q17" s="48">
        <f>SUM(L17:P17)</f>
        <v>4453</v>
      </c>
      <c r="R17" s="47"/>
      <c r="S17" s="51">
        <v>980</v>
      </c>
      <c r="T17" s="51">
        <v>819</v>
      </c>
      <c r="U17" s="51">
        <v>896</v>
      </c>
      <c r="V17" s="51">
        <v>792</v>
      </c>
      <c r="W17" s="51"/>
      <c r="X17" s="48">
        <f>SUM(S17:W17)</f>
        <v>3487</v>
      </c>
      <c r="Y17" s="47"/>
      <c r="Z17" s="51">
        <v>860</v>
      </c>
      <c r="AA17" s="51">
        <v>690</v>
      </c>
      <c r="AB17" s="51">
        <v>721</v>
      </c>
      <c r="AC17" s="51">
        <v>882</v>
      </c>
      <c r="AD17" s="51"/>
      <c r="AE17" s="48">
        <f>SUM(Z17:AD17)</f>
        <v>3153</v>
      </c>
      <c r="AF17" s="47"/>
      <c r="AG17" s="51">
        <v>910</v>
      </c>
      <c r="AH17" s="51">
        <v>696</v>
      </c>
      <c r="AI17" s="51">
        <v>1010</v>
      </c>
      <c r="AJ17" s="51">
        <v>495</v>
      </c>
      <c r="AK17" s="51">
        <v>505</v>
      </c>
      <c r="AL17" s="48">
        <f>SUM(AG17:AK17)</f>
        <v>3616</v>
      </c>
      <c r="AM17" s="47"/>
      <c r="AN17" s="51">
        <v>617</v>
      </c>
      <c r="AO17" s="51">
        <v>752</v>
      </c>
      <c r="AP17" s="51">
        <v>763</v>
      </c>
      <c r="AQ17" s="51">
        <v>666</v>
      </c>
      <c r="AR17" s="51"/>
      <c r="AS17" s="48">
        <f>SUM(AN17:AR17)</f>
        <v>2798</v>
      </c>
      <c r="AT17" s="47"/>
      <c r="AU17" s="51"/>
      <c r="AV17" s="51"/>
      <c r="AW17" s="51"/>
      <c r="AX17" s="51"/>
      <c r="AY17" s="51"/>
      <c r="AZ17" s="48">
        <f>SUM(AU17:AY17)</f>
        <v>0</v>
      </c>
      <c r="BA17" s="47"/>
      <c r="BB17" s="51"/>
      <c r="BC17" s="51"/>
      <c r="BD17" s="51"/>
      <c r="BE17" s="51"/>
      <c r="BF17" s="51"/>
      <c r="BG17" s="48">
        <f>SUM(BB17:BF17)</f>
        <v>0</v>
      </c>
      <c r="BH17" s="47"/>
      <c r="BI17" s="51"/>
      <c r="BJ17" s="51"/>
      <c r="BK17" s="51"/>
      <c r="BL17" s="51"/>
      <c r="BM17" s="51"/>
      <c r="BN17" s="48">
        <f>SUM(BI17:BM17)</f>
        <v>0</v>
      </c>
      <c r="BO17" s="47"/>
      <c r="BP17" s="51"/>
      <c r="BQ17" s="51"/>
      <c r="BR17" s="51"/>
      <c r="BS17" s="51"/>
      <c r="BT17" s="51"/>
      <c r="BU17" s="48">
        <f>SUM(BP17:BT17)</f>
        <v>0</v>
      </c>
      <c r="BV17" s="47"/>
      <c r="BW17" s="51"/>
      <c r="BX17" s="51"/>
      <c r="BY17" s="51"/>
      <c r="BZ17" s="51"/>
      <c r="CA17" s="51"/>
      <c r="CB17" s="48">
        <f>SUM(BW17:CA17)</f>
        <v>0</v>
      </c>
      <c r="CC17" s="47"/>
      <c r="CD17" s="51"/>
      <c r="CE17" s="51"/>
      <c r="CF17" s="51"/>
      <c r="CG17" s="51"/>
      <c r="CH17" s="51"/>
      <c r="CI17" s="48">
        <f>SUM(CD17:CH17)</f>
        <v>0</v>
      </c>
      <c r="CJ17" s="47"/>
      <c r="CK17" s="305">
        <f>SUM(E17+L17+S17+Z17+AG17+AN17+AU17+BB17+BI17+BP17+BW17+CD17)</f>
        <v>5003</v>
      </c>
      <c r="CL17" s="305">
        <f t="shared" ref="CL17:CL61" si="0">SUM(F17+M17+T17+AA17+AH17+AO17+AV17+BC17+BJ17+BQ17+BX17+CE17)</f>
        <v>4646</v>
      </c>
      <c r="CM17" s="305">
        <f t="shared" ref="CM17:CM61" si="1">SUM(G17+N17+U17+AB17+AI17+AP17+AW17+BD17+BK17+BR17+BY17+CF17)</f>
        <v>5270</v>
      </c>
      <c r="CN17" s="305">
        <f t="shared" ref="CN17:CN61" si="2">SUM(H17+O17+V17+AC17+AJ17+AQ17+AX17+BE17+BL17+BS17+BZ17+CG17)</f>
        <v>4591</v>
      </c>
      <c r="CO17" s="305">
        <f t="shared" ref="CO17:CO61" si="3">SUM(I17+P17+W17+AD17+AK17+AR17+AY17+BF17+BM17+BT17+CA17+CH17)</f>
        <v>1444</v>
      </c>
      <c r="CP17" s="48">
        <f t="shared" ref="CP17:CP72" si="4">SUM(J17+Q17+X17+AE17+AL17+AS17+AZ17+BG17+BN17+BU17+CB17+CI17)</f>
        <v>20954</v>
      </c>
    </row>
    <row r="18" spans="2:95" ht="20.100000000000001" customHeight="1">
      <c r="B18" s="994"/>
      <c r="C18" s="309" t="s">
        <v>40</v>
      </c>
      <c r="D18" s="47"/>
      <c r="E18" s="51">
        <v>489</v>
      </c>
      <c r="F18" s="51">
        <v>753</v>
      </c>
      <c r="G18" s="51">
        <v>653</v>
      </c>
      <c r="H18" s="51">
        <v>701</v>
      </c>
      <c r="I18" s="51"/>
      <c r="J18" s="48">
        <f>SUM(E18:I18)</f>
        <v>2596</v>
      </c>
      <c r="K18" s="47"/>
      <c r="L18" s="51">
        <v>735</v>
      </c>
      <c r="M18" s="51">
        <v>474</v>
      </c>
      <c r="N18" s="51">
        <v>745</v>
      </c>
      <c r="O18" s="51">
        <v>622</v>
      </c>
      <c r="P18" s="51">
        <v>713</v>
      </c>
      <c r="Q18" s="48">
        <f>SUM(L18:P18)</f>
        <v>3289</v>
      </c>
      <c r="R18" s="47"/>
      <c r="S18" s="51">
        <v>757</v>
      </c>
      <c r="T18" s="51">
        <v>627</v>
      </c>
      <c r="U18" s="51">
        <v>708</v>
      </c>
      <c r="V18" s="51">
        <v>608</v>
      </c>
      <c r="W18" s="51"/>
      <c r="X18" s="48">
        <f>SUM(S18:W18)</f>
        <v>2700</v>
      </c>
      <c r="Y18" s="47"/>
      <c r="Z18" s="51">
        <v>655</v>
      </c>
      <c r="AA18" s="51">
        <v>492</v>
      </c>
      <c r="AB18" s="51">
        <v>575</v>
      </c>
      <c r="AC18" s="51">
        <v>649</v>
      </c>
      <c r="AD18" s="51"/>
      <c r="AE18" s="48">
        <f>SUM(Z18:AD18)</f>
        <v>2371</v>
      </c>
      <c r="AF18" s="47"/>
      <c r="AG18" s="51">
        <v>686</v>
      </c>
      <c r="AH18" s="51">
        <v>547</v>
      </c>
      <c r="AI18" s="51">
        <v>769</v>
      </c>
      <c r="AJ18" s="51">
        <v>398</v>
      </c>
      <c r="AK18" s="51">
        <v>356</v>
      </c>
      <c r="AL18" s="48">
        <f>SUM(AG18:AK18)</f>
        <v>2756</v>
      </c>
      <c r="AM18" s="47"/>
      <c r="AN18" s="51">
        <v>481</v>
      </c>
      <c r="AO18" s="51">
        <v>538</v>
      </c>
      <c r="AP18" s="51">
        <v>601</v>
      </c>
      <c r="AQ18" s="51">
        <v>455</v>
      </c>
      <c r="AR18" s="51"/>
      <c r="AS18" s="48">
        <f>SUM(AN18:AR18)</f>
        <v>2075</v>
      </c>
      <c r="AT18" s="47"/>
      <c r="AU18" s="51"/>
      <c r="AV18" s="51"/>
      <c r="AW18" s="51"/>
      <c r="AX18" s="51"/>
      <c r="AY18" s="51"/>
      <c r="AZ18" s="48">
        <f>SUM(AU18:AY18)</f>
        <v>0</v>
      </c>
      <c r="BA18" s="47"/>
      <c r="BB18" s="51"/>
      <c r="BC18" s="51"/>
      <c r="BD18" s="51"/>
      <c r="BE18" s="51"/>
      <c r="BF18" s="51"/>
      <c r="BG18" s="48">
        <f>SUM(BB18:BF18)</f>
        <v>0</v>
      </c>
      <c r="BH18" s="47"/>
      <c r="BI18" s="51"/>
      <c r="BJ18" s="51"/>
      <c r="BK18" s="51"/>
      <c r="BL18" s="51"/>
      <c r="BM18" s="51"/>
      <c r="BN18" s="48">
        <f>SUM(BI18:BM18)</f>
        <v>0</v>
      </c>
      <c r="BO18" s="47"/>
      <c r="BP18" s="51"/>
      <c r="BQ18" s="51"/>
      <c r="BR18" s="51"/>
      <c r="BS18" s="51"/>
      <c r="BT18" s="51"/>
      <c r="BU18" s="48">
        <f>SUM(BP18:BT18)</f>
        <v>0</v>
      </c>
      <c r="BV18" s="47"/>
      <c r="BW18" s="51"/>
      <c r="BX18" s="51"/>
      <c r="BY18" s="51"/>
      <c r="BZ18" s="51"/>
      <c r="CA18" s="51"/>
      <c r="CB18" s="48">
        <f>SUM(BW18:CA18)</f>
        <v>0</v>
      </c>
      <c r="CC18" s="47"/>
      <c r="CD18" s="51"/>
      <c r="CE18" s="51"/>
      <c r="CF18" s="51"/>
      <c r="CG18" s="51"/>
      <c r="CH18" s="51"/>
      <c r="CI18" s="48">
        <f>SUM(CD18:CH18)</f>
        <v>0</v>
      </c>
      <c r="CJ18" s="47"/>
      <c r="CK18" s="305">
        <f>SUM(E18+L18+S18+Z18+AG18+AN18+AU18+BB18+BI18+BP18+BW18+CD18)</f>
        <v>3803</v>
      </c>
      <c r="CL18" s="305">
        <f t="shared" si="0"/>
        <v>3431</v>
      </c>
      <c r="CM18" s="305">
        <f t="shared" si="1"/>
        <v>4051</v>
      </c>
      <c r="CN18" s="305">
        <f t="shared" si="2"/>
        <v>3433</v>
      </c>
      <c r="CO18" s="305">
        <f t="shared" si="3"/>
        <v>1069</v>
      </c>
      <c r="CP18" s="48">
        <f t="shared" si="4"/>
        <v>15787</v>
      </c>
    </row>
    <row r="19" spans="2:95" ht="20.100000000000001" customHeight="1">
      <c r="B19" s="994"/>
      <c r="C19" s="309" t="s">
        <v>241</v>
      </c>
      <c r="D19" s="47"/>
      <c r="E19" s="51">
        <v>538</v>
      </c>
      <c r="F19" s="51">
        <v>652</v>
      </c>
      <c r="G19" s="51">
        <v>616</v>
      </c>
      <c r="H19" s="51">
        <v>875</v>
      </c>
      <c r="I19" s="51"/>
      <c r="J19" s="48">
        <f>SUM(E19:I19)</f>
        <v>2681</v>
      </c>
      <c r="K19" s="47"/>
      <c r="L19" s="51">
        <v>812</v>
      </c>
      <c r="M19" s="51">
        <v>474</v>
      </c>
      <c r="N19" s="51">
        <v>710</v>
      </c>
      <c r="O19" s="51">
        <v>715</v>
      </c>
      <c r="P19" s="51">
        <v>733</v>
      </c>
      <c r="Q19" s="48">
        <f>SUM(L19:P19)</f>
        <v>3444</v>
      </c>
      <c r="R19" s="47"/>
      <c r="S19" s="51">
        <v>841</v>
      </c>
      <c r="T19" s="51">
        <v>464</v>
      </c>
      <c r="U19" s="51">
        <v>892</v>
      </c>
      <c r="V19" s="51">
        <v>687</v>
      </c>
      <c r="W19" s="51"/>
      <c r="X19" s="48">
        <f>SUM(S19:W19)</f>
        <v>2884</v>
      </c>
      <c r="Y19" s="47"/>
      <c r="Z19" s="51">
        <v>757</v>
      </c>
      <c r="AA19" s="51">
        <v>441</v>
      </c>
      <c r="AB19" s="51">
        <v>462</v>
      </c>
      <c r="AC19" s="51">
        <v>594</v>
      </c>
      <c r="AD19" s="51"/>
      <c r="AE19" s="48">
        <f>SUM(Z19:AD19)</f>
        <v>2254</v>
      </c>
      <c r="AF19" s="47"/>
      <c r="AG19" s="51">
        <v>568</v>
      </c>
      <c r="AH19" s="51">
        <v>355</v>
      </c>
      <c r="AI19" s="51">
        <v>585</v>
      </c>
      <c r="AJ19" s="51">
        <v>398</v>
      </c>
      <c r="AK19" s="51">
        <v>387</v>
      </c>
      <c r="AL19" s="48">
        <f>SUM(AG19:AK19)</f>
        <v>2293</v>
      </c>
      <c r="AM19" s="47"/>
      <c r="AN19" s="51">
        <v>446</v>
      </c>
      <c r="AO19" s="51">
        <v>531</v>
      </c>
      <c r="AP19" s="51">
        <v>635</v>
      </c>
      <c r="AQ19" s="51">
        <v>435</v>
      </c>
      <c r="AR19" s="51"/>
      <c r="AS19" s="48">
        <f>SUM(AN19:AR19)</f>
        <v>2047</v>
      </c>
      <c r="AT19" s="47"/>
      <c r="AU19" s="51"/>
      <c r="AV19" s="51"/>
      <c r="AW19" s="51"/>
      <c r="AX19" s="51"/>
      <c r="AY19" s="51"/>
      <c r="AZ19" s="48">
        <f>SUM(AU19:AY19)</f>
        <v>0</v>
      </c>
      <c r="BA19" s="47"/>
      <c r="BB19" s="51"/>
      <c r="BC19" s="51"/>
      <c r="BD19" s="51"/>
      <c r="BE19" s="51"/>
      <c r="BF19" s="51"/>
      <c r="BG19" s="48">
        <f>SUM(BB19:BF19)</f>
        <v>0</v>
      </c>
      <c r="BH19" s="47"/>
      <c r="BI19" s="51"/>
      <c r="BJ19" s="51"/>
      <c r="BK19" s="51"/>
      <c r="BL19" s="51"/>
      <c r="BM19" s="51"/>
      <c r="BN19" s="48">
        <f>SUM(BI19:BM19)</f>
        <v>0</v>
      </c>
      <c r="BO19" s="47"/>
      <c r="BP19" s="51"/>
      <c r="BQ19" s="51"/>
      <c r="BR19" s="51"/>
      <c r="BS19" s="51"/>
      <c r="BT19" s="51"/>
      <c r="BU19" s="48">
        <f>SUM(BP19:BT19)</f>
        <v>0</v>
      </c>
      <c r="BV19" s="47"/>
      <c r="BW19" s="51"/>
      <c r="BX19" s="51"/>
      <c r="BY19" s="51"/>
      <c r="BZ19" s="51"/>
      <c r="CA19" s="51"/>
      <c r="CB19" s="48">
        <f>SUM(BW19:CA19)</f>
        <v>0</v>
      </c>
      <c r="CC19" s="47"/>
      <c r="CD19" s="51"/>
      <c r="CE19" s="51"/>
      <c r="CF19" s="51"/>
      <c r="CG19" s="51"/>
      <c r="CH19" s="51"/>
      <c r="CI19" s="48">
        <f>SUM(CD19:CH19)</f>
        <v>0</v>
      </c>
      <c r="CJ19" s="47"/>
      <c r="CK19" s="305">
        <f>SUM(E19+L19+S19+Z19+AG19+AN19+AU19+BB19+BI19+BP19+BW19+CD19)</f>
        <v>3962</v>
      </c>
      <c r="CL19" s="305">
        <f t="shared" si="0"/>
        <v>2917</v>
      </c>
      <c r="CM19" s="305">
        <f t="shared" si="1"/>
        <v>3900</v>
      </c>
      <c r="CN19" s="305">
        <f t="shared" si="2"/>
        <v>3704</v>
      </c>
      <c r="CO19" s="305">
        <f t="shared" si="3"/>
        <v>1120</v>
      </c>
      <c r="CP19" s="48">
        <f t="shared" si="4"/>
        <v>15603</v>
      </c>
    </row>
    <row r="20" spans="2:95" ht="20.100000000000001" customHeight="1">
      <c r="B20" s="994"/>
      <c r="C20" s="309" t="s">
        <v>43</v>
      </c>
      <c r="D20" s="47"/>
      <c r="E20" s="299">
        <v>50.28</v>
      </c>
      <c r="F20" s="299">
        <v>56.29</v>
      </c>
      <c r="G20" s="299">
        <v>53.46</v>
      </c>
      <c r="H20" s="299">
        <v>74.5</v>
      </c>
      <c r="I20" s="299"/>
      <c r="J20" s="48">
        <f>ROUND((SUM(E20:I20)),0)</f>
        <v>235</v>
      </c>
      <c r="K20" s="47"/>
      <c r="L20" s="299">
        <v>53.16</v>
      </c>
      <c r="M20" s="299">
        <v>55.55</v>
      </c>
      <c r="N20" s="299">
        <v>53.62</v>
      </c>
      <c r="O20" s="299">
        <v>52.41</v>
      </c>
      <c r="P20" s="299">
        <v>48.24</v>
      </c>
      <c r="Q20" s="48">
        <f>ROUND((SUM(L20:P20)),0)</f>
        <v>263</v>
      </c>
      <c r="R20" s="47"/>
      <c r="S20" s="299">
        <v>57.36</v>
      </c>
      <c r="T20" s="299">
        <v>52.89</v>
      </c>
      <c r="U20" s="299">
        <v>57.14</v>
      </c>
      <c r="V20" s="299">
        <v>50.51</v>
      </c>
      <c r="W20" s="299"/>
      <c r="X20" s="48">
        <f>ROUND((SUM(S20:W20)),0)</f>
        <v>218</v>
      </c>
      <c r="Y20" s="47"/>
      <c r="Z20" s="299">
        <v>46.2</v>
      </c>
      <c r="AA20" s="299">
        <v>47.46</v>
      </c>
      <c r="AB20" s="299">
        <v>42.14</v>
      </c>
      <c r="AC20" s="299">
        <v>50.59</v>
      </c>
      <c r="AD20" s="299"/>
      <c r="AE20" s="48">
        <f>ROUND((SUM(Z20:AD20)),0)</f>
        <v>186</v>
      </c>
      <c r="AF20" s="47"/>
      <c r="AG20" s="299">
        <v>50.13</v>
      </c>
      <c r="AH20" s="299">
        <v>47.35</v>
      </c>
      <c r="AI20" s="299">
        <v>55.27</v>
      </c>
      <c r="AJ20" s="299">
        <v>27.54</v>
      </c>
      <c r="AK20" s="299">
        <v>32.44</v>
      </c>
      <c r="AL20" s="48">
        <f>ROUND((SUM(AG20:AK20)),0)</f>
        <v>213</v>
      </c>
      <c r="AM20" s="47"/>
      <c r="AN20" s="299">
        <v>39.299999999999997</v>
      </c>
      <c r="AO20" s="299">
        <v>45.18</v>
      </c>
      <c r="AP20" s="299">
        <v>48.04</v>
      </c>
      <c r="AQ20" s="299">
        <v>43.91</v>
      </c>
      <c r="AR20" s="299"/>
      <c r="AS20" s="48">
        <f>ROUND((SUM(AN20:AR20)),0)</f>
        <v>176</v>
      </c>
      <c r="AT20" s="47"/>
      <c r="AU20" s="299"/>
      <c r="AV20" s="299"/>
      <c r="AW20" s="299"/>
      <c r="AX20" s="299"/>
      <c r="AY20" s="299"/>
      <c r="AZ20" s="48">
        <f>ROUND((SUM(AU20:AY20)),0)</f>
        <v>0</v>
      </c>
      <c r="BA20" s="47"/>
      <c r="BB20" s="299"/>
      <c r="BC20" s="299"/>
      <c r="BD20" s="299"/>
      <c r="BE20" s="299"/>
      <c r="BF20" s="299"/>
      <c r="BG20" s="48">
        <f>ROUND((SUM(BB20:BF20)),0)</f>
        <v>0</v>
      </c>
      <c r="BH20" s="47"/>
      <c r="BI20" s="299"/>
      <c r="BJ20" s="299"/>
      <c r="BK20" s="299"/>
      <c r="BL20" s="299"/>
      <c r="BM20" s="299"/>
      <c r="BN20" s="48">
        <f>ROUND((SUM(BI20:BM20)),0)</f>
        <v>0</v>
      </c>
      <c r="BO20" s="47"/>
      <c r="BP20" s="299"/>
      <c r="BQ20" s="299"/>
      <c r="BR20" s="299"/>
      <c r="BS20" s="299"/>
      <c r="BT20" s="299"/>
      <c r="BU20" s="48">
        <f>ROUND((SUM(BP20:BT20)),0)</f>
        <v>0</v>
      </c>
      <c r="BV20" s="47"/>
      <c r="BW20" s="299"/>
      <c r="BX20" s="299"/>
      <c r="BY20" s="299"/>
      <c r="BZ20" s="299"/>
      <c r="CA20" s="299"/>
      <c r="CB20" s="48">
        <f>ROUND((SUM(BW20:CA20)),0)</f>
        <v>0</v>
      </c>
      <c r="CC20" s="47"/>
      <c r="CD20" s="299"/>
      <c r="CE20" s="299"/>
      <c r="CF20" s="299"/>
      <c r="CG20" s="299"/>
      <c r="CH20" s="299"/>
      <c r="CI20" s="48">
        <f>ROUND((SUM(CD20:CH20)),0)</f>
        <v>0</v>
      </c>
      <c r="CJ20" s="47"/>
      <c r="CK20" s="304">
        <f>SUM(E20+L20+S20+Z20+AG20+AN20+AU20+BB20+BI20+BP20+BW20+CD20)</f>
        <v>296.43</v>
      </c>
      <c r="CL20" s="304">
        <f t="shared" si="0"/>
        <v>304.72000000000003</v>
      </c>
      <c r="CM20" s="304">
        <f t="shared" si="1"/>
        <v>309.67</v>
      </c>
      <c r="CN20" s="304">
        <f t="shared" si="2"/>
        <v>299.45999999999998</v>
      </c>
      <c r="CO20" s="304">
        <f t="shared" si="3"/>
        <v>80.680000000000007</v>
      </c>
      <c r="CP20" s="48">
        <f>ROUND(SUM(J20+Q20+X20+AE20+AL20+AS20+AZ20+BG20+BN20+BU20+CB20+CI20),0)</f>
        <v>1291</v>
      </c>
      <c r="CQ20" s="138"/>
    </row>
    <row r="21" spans="2:95" s="13" customFormat="1" ht="20.100000000000001" customHeight="1">
      <c r="B21" s="994"/>
      <c r="C21" s="309" t="s">
        <v>41</v>
      </c>
      <c r="D21" s="47"/>
      <c r="E21" s="299">
        <v>28.33</v>
      </c>
      <c r="F21" s="299">
        <v>40.65</v>
      </c>
      <c r="G21" s="299">
        <v>36.93</v>
      </c>
      <c r="H21" s="299">
        <v>39.86</v>
      </c>
      <c r="I21" s="299"/>
      <c r="J21" s="48">
        <f>ROUND((SUM(E21:I21)),0)</f>
        <v>146</v>
      </c>
      <c r="K21" s="47"/>
      <c r="L21" s="299">
        <v>41.91</v>
      </c>
      <c r="M21" s="299">
        <v>26.58</v>
      </c>
      <c r="N21" s="299">
        <v>36.61</v>
      </c>
      <c r="O21" s="299">
        <v>32.89</v>
      </c>
      <c r="P21" s="299">
        <v>33.54</v>
      </c>
      <c r="Q21" s="48">
        <f>ROUND((SUM(L21:P21)),0)</f>
        <v>172</v>
      </c>
      <c r="R21" s="47"/>
      <c r="S21" s="299">
        <v>42.37</v>
      </c>
      <c r="T21" s="299">
        <v>36.89</v>
      </c>
      <c r="U21" s="299">
        <v>41.13</v>
      </c>
      <c r="V21" s="299">
        <v>35.82</v>
      </c>
      <c r="W21" s="299"/>
      <c r="X21" s="48">
        <f>ROUND((SUM(S21:W21)),0)</f>
        <v>156</v>
      </c>
      <c r="Y21" s="47"/>
      <c r="Z21" s="299">
        <v>33.229999999999997</v>
      </c>
      <c r="AA21" s="299">
        <v>32.06</v>
      </c>
      <c r="AB21" s="299">
        <v>32</v>
      </c>
      <c r="AC21" s="299">
        <v>33.4</v>
      </c>
      <c r="AD21" s="299"/>
      <c r="AE21" s="48">
        <f>ROUND((SUM(Z21:AD21)),0)</f>
        <v>131</v>
      </c>
      <c r="AF21" s="47"/>
      <c r="AG21" s="299">
        <v>35.43</v>
      </c>
      <c r="AH21" s="299">
        <v>34.479999999999997</v>
      </c>
      <c r="AI21" s="299">
        <v>40.76</v>
      </c>
      <c r="AJ21" s="299">
        <v>21.19</v>
      </c>
      <c r="AK21" s="299">
        <v>20.7</v>
      </c>
      <c r="AL21" s="48">
        <f>ROUND((SUM(AG21:AK21)),0)</f>
        <v>153</v>
      </c>
      <c r="AM21" s="47"/>
      <c r="AN21" s="299">
        <v>28.44</v>
      </c>
      <c r="AO21" s="299">
        <v>31.06</v>
      </c>
      <c r="AP21" s="299">
        <v>36.9</v>
      </c>
      <c r="AQ21" s="299">
        <v>26.35</v>
      </c>
      <c r="AR21" s="299"/>
      <c r="AS21" s="48">
        <f>ROUND((SUM(AN21:AR21)),0)</f>
        <v>123</v>
      </c>
      <c r="AT21" s="47"/>
      <c r="AU21" s="299"/>
      <c r="AV21" s="299"/>
      <c r="AW21" s="299"/>
      <c r="AX21" s="299"/>
      <c r="AY21" s="299"/>
      <c r="AZ21" s="48">
        <f>ROUND((SUM(AU21:AY21)),0)</f>
        <v>0</v>
      </c>
      <c r="BA21" s="47"/>
      <c r="BB21" s="299"/>
      <c r="BC21" s="299"/>
      <c r="BD21" s="299"/>
      <c r="BE21" s="299"/>
      <c r="BF21" s="299"/>
      <c r="BG21" s="48">
        <f>ROUND((SUM(BB21:BF21)),0)</f>
        <v>0</v>
      </c>
      <c r="BH21" s="47"/>
      <c r="BI21" s="299"/>
      <c r="BJ21" s="299"/>
      <c r="BK21" s="299"/>
      <c r="BL21" s="299"/>
      <c r="BM21" s="299"/>
      <c r="BN21" s="48">
        <f>ROUND((SUM(BI21:BM21)),0)</f>
        <v>0</v>
      </c>
      <c r="BO21" s="47"/>
      <c r="BP21" s="299"/>
      <c r="BQ21" s="299"/>
      <c r="BR21" s="299"/>
      <c r="BS21" s="299"/>
      <c r="BT21" s="299"/>
      <c r="BU21" s="48">
        <f>ROUND((SUM(BP21:BT21)),0)</f>
        <v>0</v>
      </c>
      <c r="BV21" s="47"/>
      <c r="BW21" s="299"/>
      <c r="BX21" s="299"/>
      <c r="BY21" s="299"/>
      <c r="BZ21" s="299"/>
      <c r="CA21" s="299"/>
      <c r="CB21" s="48">
        <f>ROUND((SUM(BW21:CA21)),0)</f>
        <v>0</v>
      </c>
      <c r="CC21" s="47"/>
      <c r="CD21" s="299"/>
      <c r="CE21" s="299"/>
      <c r="CF21" s="299"/>
      <c r="CG21" s="299"/>
      <c r="CH21" s="299"/>
      <c r="CI21" s="48">
        <f>ROUND((SUM(CD21:CH21)),0)</f>
        <v>0</v>
      </c>
      <c r="CJ21" s="47"/>
      <c r="CK21" s="304">
        <f>SUM(E21+L21+S21+Z21+AG21+AN21+AU21+BB21+BI21+BP21+BW21+CD21)</f>
        <v>209.70999999999998</v>
      </c>
      <c r="CL21" s="304">
        <f t="shared" si="0"/>
        <v>201.72</v>
      </c>
      <c r="CM21" s="304">
        <f t="shared" si="1"/>
        <v>224.32999999999998</v>
      </c>
      <c r="CN21" s="304">
        <f t="shared" si="2"/>
        <v>189.51</v>
      </c>
      <c r="CO21" s="304">
        <f t="shared" si="3"/>
        <v>54.239999999999995</v>
      </c>
      <c r="CP21" s="48">
        <f>ROUND(SUM(J21+Q21+X21+AE21+AL21+AS21+AZ21+BG21+BN21+BU21+CB21+CI21),0)</f>
        <v>881</v>
      </c>
      <c r="CQ21" s="138"/>
    </row>
    <row r="22" spans="2:95" s="346" customFormat="1" ht="7.2" customHeight="1">
      <c r="B22" s="341"/>
      <c r="C22" s="342"/>
      <c r="D22" s="343"/>
      <c r="E22" s="344"/>
      <c r="F22" s="344"/>
      <c r="G22" s="344"/>
      <c r="H22" s="344"/>
      <c r="I22" s="344"/>
      <c r="J22" s="344"/>
      <c r="K22" s="343"/>
      <c r="L22" s="344"/>
      <c r="M22" s="344"/>
      <c r="N22" s="344"/>
      <c r="O22" s="344"/>
      <c r="P22" s="344"/>
      <c r="Q22" s="344"/>
      <c r="R22" s="343"/>
      <c r="S22" s="344"/>
      <c r="T22" s="344"/>
      <c r="U22" s="344"/>
      <c r="V22" s="344"/>
      <c r="W22" s="344"/>
      <c r="X22" s="344"/>
      <c r="Y22" s="343"/>
      <c r="Z22" s="344"/>
      <c r="AA22" s="344"/>
      <c r="AB22" s="344"/>
      <c r="AC22" s="344"/>
      <c r="AD22" s="344"/>
      <c r="AE22" s="344"/>
      <c r="AF22" s="343"/>
      <c r="AG22" s="344"/>
      <c r="AH22" s="344"/>
      <c r="AI22" s="344"/>
      <c r="AJ22" s="344"/>
      <c r="AK22" s="344"/>
      <c r="AL22" s="344"/>
      <c r="AM22" s="343"/>
      <c r="AN22" s="344"/>
      <c r="AO22" s="344"/>
      <c r="AP22" s="344"/>
      <c r="AQ22" s="344"/>
      <c r="AR22" s="344"/>
      <c r="AS22" s="344"/>
      <c r="AT22" s="343"/>
      <c r="AU22" s="344"/>
      <c r="AV22" s="344"/>
      <c r="AW22" s="344"/>
      <c r="AX22" s="344"/>
      <c r="AY22" s="344"/>
      <c r="AZ22" s="344"/>
      <c r="BA22" s="343"/>
      <c r="BB22" s="344"/>
      <c r="BC22" s="344"/>
      <c r="BD22" s="344"/>
      <c r="BE22" s="344"/>
      <c r="BF22" s="344"/>
      <c r="BG22" s="344"/>
      <c r="BH22" s="343"/>
      <c r="BI22" s="344"/>
      <c r="BJ22" s="344"/>
      <c r="BK22" s="344"/>
      <c r="BL22" s="344"/>
      <c r="BM22" s="344"/>
      <c r="BN22" s="344"/>
      <c r="BO22" s="343"/>
      <c r="BP22" s="344"/>
      <c r="BQ22" s="344"/>
      <c r="BR22" s="344"/>
      <c r="BS22" s="344"/>
      <c r="BT22" s="344"/>
      <c r="BU22" s="344"/>
      <c r="BV22" s="343"/>
      <c r="BW22" s="344"/>
      <c r="BX22" s="344"/>
      <c r="BY22" s="344"/>
      <c r="BZ22" s="344"/>
      <c r="CA22" s="344"/>
      <c r="CB22" s="344"/>
      <c r="CC22" s="343"/>
      <c r="CD22" s="344"/>
      <c r="CE22" s="344"/>
      <c r="CF22" s="344"/>
      <c r="CG22" s="344"/>
      <c r="CH22" s="344"/>
      <c r="CI22" s="344"/>
      <c r="CJ22" s="343"/>
      <c r="CK22" s="344"/>
      <c r="CL22" s="344"/>
      <c r="CM22" s="344"/>
      <c r="CN22" s="344"/>
      <c r="CO22" s="344"/>
      <c r="CP22" s="344"/>
      <c r="CQ22" s="345"/>
    </row>
    <row r="23" spans="2:95" s="13" customFormat="1" ht="20.100000000000001" customHeight="1">
      <c r="B23" s="1010" t="s">
        <v>351</v>
      </c>
      <c r="C23" s="307" t="s">
        <v>40</v>
      </c>
      <c r="D23" s="47"/>
      <c r="E23" s="51">
        <v>186</v>
      </c>
      <c r="F23" s="51">
        <v>354</v>
      </c>
      <c r="G23" s="51">
        <v>209</v>
      </c>
      <c r="H23" s="51">
        <v>257</v>
      </c>
      <c r="I23" s="51"/>
      <c r="J23" s="48">
        <f>SUM(E23:I23)</f>
        <v>1006</v>
      </c>
      <c r="K23" s="47"/>
      <c r="L23" s="51">
        <v>291</v>
      </c>
      <c r="M23" s="51">
        <v>178</v>
      </c>
      <c r="N23" s="51">
        <v>127</v>
      </c>
      <c r="O23" s="51">
        <v>244</v>
      </c>
      <c r="P23" s="51"/>
      <c r="Q23" s="48">
        <f>SUM(L23:P23)</f>
        <v>840</v>
      </c>
      <c r="R23" s="47"/>
      <c r="S23" s="51">
        <v>239</v>
      </c>
      <c r="T23" s="51">
        <v>279</v>
      </c>
      <c r="U23" s="51">
        <v>307</v>
      </c>
      <c r="V23" s="51">
        <v>269</v>
      </c>
      <c r="W23" s="51">
        <v>202</v>
      </c>
      <c r="X23" s="48">
        <f>SUM(S23:W23)</f>
        <v>1296</v>
      </c>
      <c r="Y23" s="47"/>
      <c r="Z23" s="51">
        <v>240</v>
      </c>
      <c r="AA23" s="51">
        <v>142</v>
      </c>
      <c r="AB23" s="51">
        <v>250</v>
      </c>
      <c r="AC23" s="51">
        <v>219</v>
      </c>
      <c r="AD23" s="51"/>
      <c r="AE23" s="48">
        <f>SUM(Z23:AD23)</f>
        <v>851</v>
      </c>
      <c r="AF23" s="47"/>
      <c r="AG23" s="51">
        <v>224</v>
      </c>
      <c r="AH23" s="51">
        <v>172</v>
      </c>
      <c r="AI23" s="51">
        <v>300</v>
      </c>
      <c r="AJ23" s="51">
        <v>189</v>
      </c>
      <c r="AK23" s="51"/>
      <c r="AL23" s="48">
        <f>SUM(AG23:AK23)</f>
        <v>885</v>
      </c>
      <c r="AM23" s="47"/>
      <c r="AN23" s="51">
        <v>128</v>
      </c>
      <c r="AO23" s="51">
        <v>295</v>
      </c>
      <c r="AP23" s="51">
        <v>211</v>
      </c>
      <c r="AQ23" s="51">
        <v>190</v>
      </c>
      <c r="AR23" s="51">
        <v>194</v>
      </c>
      <c r="AS23" s="48">
        <f>SUM(AN23:AR23)</f>
        <v>1018</v>
      </c>
      <c r="AT23" s="47"/>
      <c r="AU23" s="51"/>
      <c r="AV23" s="51"/>
      <c r="AW23" s="51"/>
      <c r="AX23" s="51"/>
      <c r="AY23" s="51"/>
      <c r="AZ23" s="48">
        <f>SUM(AU23:AY23)</f>
        <v>0</v>
      </c>
      <c r="BA23" s="47"/>
      <c r="BB23" s="51"/>
      <c r="BC23" s="51"/>
      <c r="BD23" s="51"/>
      <c r="BE23" s="51"/>
      <c r="BF23" s="51"/>
      <c r="BG23" s="48">
        <f>SUM(BB23:BF23)</f>
        <v>0</v>
      </c>
      <c r="BH23" s="47"/>
      <c r="BI23" s="51"/>
      <c r="BJ23" s="51"/>
      <c r="BK23" s="51"/>
      <c r="BL23" s="51"/>
      <c r="BM23" s="51"/>
      <c r="BN23" s="48">
        <f>SUM(BI23:BM23)</f>
        <v>0</v>
      </c>
      <c r="BO23" s="47"/>
      <c r="BP23" s="51"/>
      <c r="BQ23" s="51"/>
      <c r="BR23" s="51"/>
      <c r="BS23" s="51"/>
      <c r="BT23" s="51"/>
      <c r="BU23" s="48">
        <f>SUM(BP23:BT23)</f>
        <v>0</v>
      </c>
      <c r="BV23" s="47"/>
      <c r="BW23" s="51"/>
      <c r="BX23" s="51"/>
      <c r="BY23" s="51"/>
      <c r="BZ23" s="51"/>
      <c r="CA23" s="51"/>
      <c r="CB23" s="48">
        <f>SUM(BW23:CA23)</f>
        <v>0</v>
      </c>
      <c r="CC23" s="47"/>
      <c r="CD23" s="51"/>
      <c r="CE23" s="51"/>
      <c r="CF23" s="51"/>
      <c r="CG23" s="51"/>
      <c r="CH23" s="51"/>
      <c r="CI23" s="48">
        <f>SUM(CD23:CH23)</f>
        <v>0</v>
      </c>
      <c r="CJ23" s="47"/>
      <c r="CK23" s="305">
        <f t="shared" ref="CK23:CK61" si="5">SUM(E23+L23+S23+Z23+AG23+AN23+AU23+BB23+BI23+BP23+BW23+CD23)</f>
        <v>1308</v>
      </c>
      <c r="CL23" s="305">
        <f t="shared" si="0"/>
        <v>1420</v>
      </c>
      <c r="CM23" s="305">
        <f t="shared" si="1"/>
        <v>1404</v>
      </c>
      <c r="CN23" s="305">
        <f t="shared" si="2"/>
        <v>1368</v>
      </c>
      <c r="CO23" s="305">
        <f t="shared" si="3"/>
        <v>396</v>
      </c>
      <c r="CP23" s="48">
        <f t="shared" si="4"/>
        <v>5896</v>
      </c>
      <c r="CQ23" s="138"/>
    </row>
    <row r="24" spans="2:95" s="13" customFormat="1" ht="20.100000000000001" customHeight="1">
      <c r="B24" s="1011"/>
      <c r="C24" s="307" t="s">
        <v>241</v>
      </c>
      <c r="D24" s="47"/>
      <c r="E24" s="51">
        <v>209</v>
      </c>
      <c r="F24" s="51">
        <v>178</v>
      </c>
      <c r="G24" s="51">
        <v>160</v>
      </c>
      <c r="H24" s="51">
        <v>259</v>
      </c>
      <c r="I24" s="51"/>
      <c r="J24" s="48">
        <f>SUM(E24:I24)</f>
        <v>806</v>
      </c>
      <c r="K24" s="47"/>
      <c r="L24" s="51">
        <v>239</v>
      </c>
      <c r="M24" s="51">
        <v>158</v>
      </c>
      <c r="N24" s="51">
        <v>71</v>
      </c>
      <c r="O24" s="51">
        <v>180</v>
      </c>
      <c r="P24" s="51"/>
      <c r="Q24" s="48">
        <f>SUM(L24:P24)</f>
        <v>648</v>
      </c>
      <c r="R24" s="47"/>
      <c r="S24" s="51">
        <v>367</v>
      </c>
      <c r="T24" s="51">
        <v>181</v>
      </c>
      <c r="U24" s="51">
        <v>264</v>
      </c>
      <c r="V24" s="51">
        <v>189</v>
      </c>
      <c r="W24" s="51">
        <v>187</v>
      </c>
      <c r="X24" s="48">
        <f>SUM(S24:W24)</f>
        <v>1188</v>
      </c>
      <c r="Y24" s="47"/>
      <c r="Z24" s="51">
        <v>193</v>
      </c>
      <c r="AA24" s="51">
        <v>98</v>
      </c>
      <c r="AB24" s="51">
        <v>244</v>
      </c>
      <c r="AC24" s="51">
        <v>99</v>
      </c>
      <c r="AD24" s="51"/>
      <c r="AE24" s="48">
        <f>SUM(Z24:AD24)</f>
        <v>634</v>
      </c>
      <c r="AF24" s="47"/>
      <c r="AG24" s="51">
        <v>242</v>
      </c>
      <c r="AH24" s="51">
        <v>154</v>
      </c>
      <c r="AI24" s="51">
        <v>178</v>
      </c>
      <c r="AJ24" s="51">
        <v>196</v>
      </c>
      <c r="AK24" s="51"/>
      <c r="AL24" s="48">
        <f>SUM(AG24:AK24)</f>
        <v>770</v>
      </c>
      <c r="AM24" s="47"/>
      <c r="AN24" s="51">
        <v>125</v>
      </c>
      <c r="AO24" s="51">
        <v>205</v>
      </c>
      <c r="AP24" s="51">
        <v>208</v>
      </c>
      <c r="AQ24" s="51">
        <v>224</v>
      </c>
      <c r="AR24" s="51">
        <v>149</v>
      </c>
      <c r="AS24" s="48">
        <f>SUM(AN24:AR24)</f>
        <v>911</v>
      </c>
      <c r="AT24" s="47"/>
      <c r="AU24" s="51"/>
      <c r="AV24" s="51"/>
      <c r="AW24" s="51"/>
      <c r="AX24" s="51"/>
      <c r="AY24" s="51"/>
      <c r="AZ24" s="48">
        <f>SUM(AU24:AY24)</f>
        <v>0</v>
      </c>
      <c r="BA24" s="47"/>
      <c r="BB24" s="51"/>
      <c r="BC24" s="51"/>
      <c r="BD24" s="51"/>
      <c r="BE24" s="51"/>
      <c r="BF24" s="51"/>
      <c r="BG24" s="48">
        <f>SUM(BB24:BF24)</f>
        <v>0</v>
      </c>
      <c r="BH24" s="47"/>
      <c r="BI24" s="51"/>
      <c r="BJ24" s="51"/>
      <c r="BK24" s="51"/>
      <c r="BL24" s="51"/>
      <c r="BM24" s="51"/>
      <c r="BN24" s="48">
        <f>SUM(BI24:BM24)</f>
        <v>0</v>
      </c>
      <c r="BO24" s="47"/>
      <c r="BP24" s="51"/>
      <c r="BQ24" s="51"/>
      <c r="BR24" s="51"/>
      <c r="BS24" s="51"/>
      <c r="BT24" s="51"/>
      <c r="BU24" s="48">
        <f>SUM(BP24:BT24)</f>
        <v>0</v>
      </c>
      <c r="BV24" s="47"/>
      <c r="BW24" s="51"/>
      <c r="BX24" s="51"/>
      <c r="BY24" s="51"/>
      <c r="BZ24" s="51"/>
      <c r="CA24" s="51"/>
      <c r="CB24" s="48">
        <f>SUM(BW24:CA24)</f>
        <v>0</v>
      </c>
      <c r="CC24" s="47"/>
      <c r="CD24" s="51"/>
      <c r="CE24" s="51"/>
      <c r="CF24" s="51"/>
      <c r="CG24" s="51"/>
      <c r="CH24" s="51"/>
      <c r="CI24" s="48">
        <f>SUM(CD24:CH24)</f>
        <v>0</v>
      </c>
      <c r="CJ24" s="47"/>
      <c r="CK24" s="305">
        <f t="shared" si="5"/>
        <v>1375</v>
      </c>
      <c r="CL24" s="305">
        <f t="shared" si="0"/>
        <v>974</v>
      </c>
      <c r="CM24" s="305">
        <f t="shared" si="1"/>
        <v>1125</v>
      </c>
      <c r="CN24" s="305">
        <f t="shared" si="2"/>
        <v>1147</v>
      </c>
      <c r="CO24" s="305">
        <f t="shared" si="3"/>
        <v>336</v>
      </c>
      <c r="CP24" s="48">
        <f t="shared" si="4"/>
        <v>4957</v>
      </c>
      <c r="CQ24" s="36"/>
    </row>
    <row r="25" spans="2:95" s="13" customFormat="1" ht="20.100000000000001" customHeight="1">
      <c r="B25" s="1011"/>
      <c r="C25" s="307" t="s">
        <v>43</v>
      </c>
      <c r="D25" s="47"/>
      <c r="E25" s="299">
        <v>18.07</v>
      </c>
      <c r="F25" s="299">
        <v>25.92</v>
      </c>
      <c r="G25" s="299">
        <v>20.48</v>
      </c>
      <c r="H25" s="299">
        <v>27.62</v>
      </c>
      <c r="I25" s="299"/>
      <c r="J25" s="48">
        <f>ROUND((SUM(E25:I25)),0)</f>
        <v>92</v>
      </c>
      <c r="K25" s="47"/>
      <c r="L25" s="299">
        <v>23.13</v>
      </c>
      <c r="M25" s="299">
        <v>21.42</v>
      </c>
      <c r="N25" s="299">
        <v>16.3</v>
      </c>
      <c r="O25" s="299">
        <v>16.899999999999999</v>
      </c>
      <c r="P25" s="299"/>
      <c r="Q25" s="48">
        <f>ROUND((SUM(L25:P25)),0)</f>
        <v>78</v>
      </c>
      <c r="R25" s="47"/>
      <c r="S25" s="299">
        <v>18.98</v>
      </c>
      <c r="T25" s="299">
        <v>24.1</v>
      </c>
      <c r="U25" s="299">
        <v>25.8</v>
      </c>
      <c r="V25" s="299">
        <v>25.2</v>
      </c>
      <c r="W25" s="299">
        <v>24.58</v>
      </c>
      <c r="X25" s="48">
        <f>ROUND((SUM(S25:W25)),0)</f>
        <v>119</v>
      </c>
      <c r="Y25" s="47"/>
      <c r="Z25" s="299">
        <v>17.100000000000001</v>
      </c>
      <c r="AA25" s="299">
        <v>16.8</v>
      </c>
      <c r="AB25" s="299">
        <v>27.5</v>
      </c>
      <c r="AC25" s="299">
        <v>18.579999999999998</v>
      </c>
      <c r="AD25" s="299"/>
      <c r="AE25" s="48">
        <f>ROUND((SUM(Z25:AD25)),0)</f>
        <v>80</v>
      </c>
      <c r="AF25" s="47"/>
      <c r="AG25" s="299">
        <v>26.55</v>
      </c>
      <c r="AH25" s="299">
        <v>24.33</v>
      </c>
      <c r="AI25" s="299">
        <v>28.15</v>
      </c>
      <c r="AJ25" s="299">
        <v>19.899999999999999</v>
      </c>
      <c r="AK25" s="299"/>
      <c r="AL25" s="48">
        <f>ROUND((SUM(AG25:AK25)),0)</f>
        <v>99</v>
      </c>
      <c r="AM25" s="47"/>
      <c r="AN25" s="299">
        <v>19.25</v>
      </c>
      <c r="AO25" s="299">
        <v>21.65</v>
      </c>
      <c r="AP25" s="299">
        <v>17.87</v>
      </c>
      <c r="AQ25" s="299">
        <v>21.52</v>
      </c>
      <c r="AR25" s="299">
        <v>18.97</v>
      </c>
      <c r="AS25" s="48">
        <f>ROUND((SUM(AN25:AR25)),0)</f>
        <v>99</v>
      </c>
      <c r="AT25" s="47"/>
      <c r="AU25" s="299"/>
      <c r="AV25" s="299"/>
      <c r="AW25" s="299"/>
      <c r="AX25" s="299"/>
      <c r="AY25" s="299"/>
      <c r="AZ25" s="48">
        <f>ROUND((SUM(AU25:AY25)),0)</f>
        <v>0</v>
      </c>
      <c r="BA25" s="47"/>
      <c r="BB25" s="299"/>
      <c r="BC25" s="299"/>
      <c r="BD25" s="299"/>
      <c r="BE25" s="299"/>
      <c r="BF25" s="299"/>
      <c r="BG25" s="48">
        <f>ROUND((SUM(BB25:BF25)),0)</f>
        <v>0</v>
      </c>
      <c r="BH25" s="47"/>
      <c r="BI25" s="299"/>
      <c r="BJ25" s="299"/>
      <c r="BK25" s="299"/>
      <c r="BL25" s="299"/>
      <c r="BM25" s="299"/>
      <c r="BN25" s="48">
        <f>ROUND((SUM(BI25:BM25)),0)</f>
        <v>0</v>
      </c>
      <c r="BO25" s="47"/>
      <c r="BP25" s="299"/>
      <c r="BQ25" s="299"/>
      <c r="BR25" s="299"/>
      <c r="BS25" s="299"/>
      <c r="BT25" s="299"/>
      <c r="BU25" s="48">
        <f>ROUND((SUM(BP25:BT25)),0)</f>
        <v>0</v>
      </c>
      <c r="BV25" s="47"/>
      <c r="BW25" s="299"/>
      <c r="BX25" s="299"/>
      <c r="BY25" s="299"/>
      <c r="BZ25" s="299"/>
      <c r="CA25" s="299"/>
      <c r="CB25" s="48">
        <f>ROUND((SUM(BW25:CA25)),0)</f>
        <v>0</v>
      </c>
      <c r="CC25" s="47"/>
      <c r="CD25" s="299"/>
      <c r="CE25" s="299"/>
      <c r="CF25" s="299"/>
      <c r="CG25" s="299"/>
      <c r="CH25" s="299"/>
      <c r="CI25" s="48">
        <f>ROUND((SUM(CD25:CH25)),0)</f>
        <v>0</v>
      </c>
      <c r="CJ25" s="47"/>
      <c r="CK25" s="304">
        <f t="shared" si="5"/>
        <v>123.08</v>
      </c>
      <c r="CL25" s="304">
        <f t="shared" si="0"/>
        <v>134.22</v>
      </c>
      <c r="CM25" s="304">
        <f t="shared" si="1"/>
        <v>136.1</v>
      </c>
      <c r="CN25" s="304">
        <f t="shared" si="2"/>
        <v>129.72</v>
      </c>
      <c r="CO25" s="304">
        <f t="shared" si="3"/>
        <v>43.55</v>
      </c>
      <c r="CP25" s="48">
        <f>ROUND(SUM(J25+Q25+X25+AE25+AL25+AS25+AZ25+BG25+BN25+BU25+CB25+CI25),0)</f>
        <v>567</v>
      </c>
      <c r="CQ25" s="36"/>
    </row>
    <row r="26" spans="2:95" s="13" customFormat="1" ht="20.100000000000001" customHeight="1">
      <c r="B26" s="1011"/>
      <c r="C26" s="307" t="s">
        <v>41</v>
      </c>
      <c r="D26" s="47"/>
      <c r="E26" s="299">
        <v>10.98</v>
      </c>
      <c r="F26" s="299">
        <v>17.52</v>
      </c>
      <c r="G26" s="299">
        <v>12.73</v>
      </c>
      <c r="H26" s="299">
        <v>15.28</v>
      </c>
      <c r="I26" s="299"/>
      <c r="J26" s="48">
        <f>ROUND((SUM(E26:I26)),0)</f>
        <v>57</v>
      </c>
      <c r="K26" s="47"/>
      <c r="L26" s="299">
        <v>12.93</v>
      </c>
      <c r="M26" s="299">
        <v>10.48</v>
      </c>
      <c r="N26" s="299">
        <v>5.73</v>
      </c>
      <c r="O26" s="299">
        <v>11.1</v>
      </c>
      <c r="P26" s="299"/>
      <c r="Q26" s="48">
        <f>ROUND((SUM(L26:P26)),0)</f>
        <v>40</v>
      </c>
      <c r="R26" s="47"/>
      <c r="S26" s="299">
        <v>10.78</v>
      </c>
      <c r="T26" s="299">
        <v>14.42</v>
      </c>
      <c r="U26" s="299">
        <v>16.98</v>
      </c>
      <c r="V26" s="299">
        <v>14.9</v>
      </c>
      <c r="W26" s="299">
        <v>11.27</v>
      </c>
      <c r="X26" s="48">
        <f>ROUND((SUM(S26:W26)),0)</f>
        <v>68</v>
      </c>
      <c r="Y26" s="47"/>
      <c r="Z26" s="299">
        <v>12.48</v>
      </c>
      <c r="AA26" s="299">
        <v>7.55</v>
      </c>
      <c r="AB26" s="299">
        <v>14.53</v>
      </c>
      <c r="AC26" s="299">
        <v>14.15</v>
      </c>
      <c r="AD26" s="299"/>
      <c r="AE26" s="48">
        <f>ROUND((SUM(Z26:AD26)),0)</f>
        <v>49</v>
      </c>
      <c r="AF26" s="47"/>
      <c r="AG26" s="299">
        <v>11.53</v>
      </c>
      <c r="AH26" s="299">
        <v>8.27</v>
      </c>
      <c r="AI26" s="299">
        <v>19.420000000000002</v>
      </c>
      <c r="AJ26" s="299">
        <v>8.02</v>
      </c>
      <c r="AK26" s="299"/>
      <c r="AL26" s="48">
        <f>ROUND((SUM(AG26:AK26)),0)</f>
        <v>47</v>
      </c>
      <c r="AM26" s="47"/>
      <c r="AN26" s="299">
        <v>8.25</v>
      </c>
      <c r="AO26" s="299">
        <v>14.73</v>
      </c>
      <c r="AP26" s="299">
        <v>9.83</v>
      </c>
      <c r="AQ26" s="299">
        <v>9.77</v>
      </c>
      <c r="AR26" s="299">
        <v>10.8</v>
      </c>
      <c r="AS26" s="48">
        <f>ROUND((SUM(AN26:AR26)),0)</f>
        <v>53</v>
      </c>
      <c r="AT26" s="47"/>
      <c r="AU26" s="299"/>
      <c r="AV26" s="299"/>
      <c r="AW26" s="299"/>
      <c r="AX26" s="299"/>
      <c r="AY26" s="299"/>
      <c r="AZ26" s="48">
        <f>ROUND((SUM(AU26:AY26)),0)</f>
        <v>0</v>
      </c>
      <c r="BA26" s="47"/>
      <c r="BB26" s="299"/>
      <c r="BC26" s="299"/>
      <c r="BD26" s="299"/>
      <c r="BE26" s="299"/>
      <c r="BF26" s="299"/>
      <c r="BG26" s="48">
        <f>ROUND((SUM(BB26:BF26)),0)</f>
        <v>0</v>
      </c>
      <c r="BH26" s="47"/>
      <c r="BI26" s="299"/>
      <c r="BJ26" s="299"/>
      <c r="BK26" s="299"/>
      <c r="BL26" s="299"/>
      <c r="BM26" s="299"/>
      <c r="BN26" s="48">
        <f>ROUND((SUM(BI26:BM26)),0)</f>
        <v>0</v>
      </c>
      <c r="BO26" s="47"/>
      <c r="BP26" s="299"/>
      <c r="BQ26" s="299"/>
      <c r="BR26" s="299"/>
      <c r="BS26" s="299"/>
      <c r="BT26" s="299"/>
      <c r="BU26" s="48">
        <f>ROUND((SUM(BP26:BT26)),0)</f>
        <v>0</v>
      </c>
      <c r="BV26" s="47"/>
      <c r="BW26" s="299"/>
      <c r="BX26" s="299"/>
      <c r="BY26" s="299"/>
      <c r="BZ26" s="299"/>
      <c r="CA26" s="299"/>
      <c r="CB26" s="48">
        <f>ROUND((SUM(BW26:CA26)),0)</f>
        <v>0</v>
      </c>
      <c r="CC26" s="47"/>
      <c r="CD26" s="299"/>
      <c r="CE26" s="299"/>
      <c r="CF26" s="299"/>
      <c r="CG26" s="299"/>
      <c r="CH26" s="299"/>
      <c r="CI26" s="48">
        <f>ROUND((SUM(CD26:CH26)),0)</f>
        <v>0</v>
      </c>
      <c r="CJ26" s="47"/>
      <c r="CK26" s="304">
        <f t="shared" si="5"/>
        <v>66.95</v>
      </c>
      <c r="CL26" s="304">
        <f t="shared" si="0"/>
        <v>72.97</v>
      </c>
      <c r="CM26" s="304">
        <f t="shared" si="1"/>
        <v>79.22</v>
      </c>
      <c r="CN26" s="304">
        <f t="shared" si="2"/>
        <v>73.22</v>
      </c>
      <c r="CO26" s="304">
        <f t="shared" si="3"/>
        <v>22.07</v>
      </c>
      <c r="CP26" s="48">
        <f>ROUND(SUM(J26+Q26+X26+AE26+AL26+AS26+AZ26+BG26+BN26+BU26+CB26+CI26),0)</f>
        <v>314</v>
      </c>
      <c r="CQ26" s="36"/>
    </row>
    <row r="27" spans="2:95" s="346" customFormat="1" ht="7.2" customHeight="1">
      <c r="B27" s="341"/>
      <c r="C27" s="342"/>
      <c r="D27" s="343"/>
      <c r="E27" s="344"/>
      <c r="F27" s="344"/>
      <c r="G27" s="344"/>
      <c r="H27" s="344"/>
      <c r="I27" s="344"/>
      <c r="J27" s="344"/>
      <c r="K27" s="343"/>
      <c r="L27" s="344"/>
      <c r="M27" s="344"/>
      <c r="N27" s="344"/>
      <c r="O27" s="344"/>
      <c r="P27" s="344"/>
      <c r="Q27" s="344"/>
      <c r="R27" s="343"/>
      <c r="S27" s="344"/>
      <c r="T27" s="344"/>
      <c r="U27" s="344"/>
      <c r="V27" s="344"/>
      <c r="W27" s="344"/>
      <c r="X27" s="344"/>
      <c r="Y27" s="343"/>
      <c r="Z27" s="344"/>
      <c r="AA27" s="344"/>
      <c r="AB27" s="344"/>
      <c r="AC27" s="344"/>
      <c r="AD27" s="344"/>
      <c r="AE27" s="344"/>
      <c r="AF27" s="343"/>
      <c r="AG27" s="344"/>
      <c r="AH27" s="344"/>
      <c r="AI27" s="344"/>
      <c r="AJ27" s="344"/>
      <c r="AK27" s="344"/>
      <c r="AL27" s="344"/>
      <c r="AM27" s="343"/>
      <c r="AN27" s="344"/>
      <c r="AO27" s="344"/>
      <c r="AP27" s="344"/>
      <c r="AQ27" s="344"/>
      <c r="AR27" s="344"/>
      <c r="AS27" s="344"/>
      <c r="AT27" s="343"/>
      <c r="AU27" s="344"/>
      <c r="AV27" s="344"/>
      <c r="AW27" s="344"/>
      <c r="AX27" s="344"/>
      <c r="AY27" s="344"/>
      <c r="AZ27" s="344"/>
      <c r="BA27" s="343"/>
      <c r="BB27" s="344"/>
      <c r="BC27" s="344"/>
      <c r="BD27" s="344"/>
      <c r="BE27" s="344"/>
      <c r="BF27" s="344"/>
      <c r="BG27" s="344"/>
      <c r="BH27" s="343"/>
      <c r="BI27" s="344"/>
      <c r="BJ27" s="344"/>
      <c r="BK27" s="344"/>
      <c r="BL27" s="344"/>
      <c r="BM27" s="344"/>
      <c r="BN27" s="344"/>
      <c r="BO27" s="343"/>
      <c r="BP27" s="344"/>
      <c r="BQ27" s="344"/>
      <c r="BR27" s="344"/>
      <c r="BS27" s="344"/>
      <c r="BT27" s="344"/>
      <c r="BU27" s="344"/>
      <c r="BV27" s="343"/>
      <c r="BW27" s="344"/>
      <c r="BX27" s="344"/>
      <c r="BY27" s="344"/>
      <c r="BZ27" s="344"/>
      <c r="CA27" s="344"/>
      <c r="CB27" s="344"/>
      <c r="CC27" s="343"/>
      <c r="CD27" s="344"/>
      <c r="CE27" s="344"/>
      <c r="CF27" s="344"/>
      <c r="CG27" s="344"/>
      <c r="CH27" s="344"/>
      <c r="CI27" s="344"/>
      <c r="CJ27" s="343"/>
      <c r="CK27" s="344"/>
      <c r="CL27" s="344"/>
      <c r="CM27" s="344"/>
      <c r="CN27" s="344"/>
      <c r="CO27" s="344"/>
      <c r="CP27" s="344"/>
      <c r="CQ27" s="345"/>
    </row>
    <row r="28" spans="2:95" s="13" customFormat="1" ht="20.100000000000001" customHeight="1">
      <c r="B28" s="999" t="s">
        <v>353</v>
      </c>
      <c r="C28" s="247" t="s">
        <v>40</v>
      </c>
      <c r="D28" s="47"/>
      <c r="E28" s="72"/>
      <c r="F28" s="72"/>
      <c r="G28" s="72"/>
      <c r="H28" s="72"/>
      <c r="I28" s="72"/>
      <c r="J28" s="300">
        <v>32880</v>
      </c>
      <c r="K28" s="47"/>
      <c r="L28" s="72"/>
      <c r="M28" s="72"/>
      <c r="N28" s="72"/>
      <c r="O28" s="72"/>
      <c r="P28" s="72"/>
      <c r="Q28" s="300">
        <v>32824</v>
      </c>
      <c r="R28" s="47"/>
      <c r="S28" s="72"/>
      <c r="T28" s="72"/>
      <c r="U28" s="72"/>
      <c r="V28" s="72"/>
      <c r="W28" s="72"/>
      <c r="X28" s="300">
        <v>31505</v>
      </c>
      <c r="Y28" s="47"/>
      <c r="Z28" s="72"/>
      <c r="AA28" s="72"/>
      <c r="AB28" s="72"/>
      <c r="AC28" s="72"/>
      <c r="AD28" s="72"/>
      <c r="AE28" s="300">
        <v>33528</v>
      </c>
      <c r="AF28" s="47"/>
      <c r="AG28" s="72"/>
      <c r="AH28" s="72"/>
      <c r="AI28" s="72"/>
      <c r="AJ28" s="72"/>
      <c r="AK28" s="72"/>
      <c r="AL28" s="300">
        <v>27536</v>
      </c>
      <c r="AM28" s="47"/>
      <c r="AN28" s="72"/>
      <c r="AO28" s="72"/>
      <c r="AP28" s="72"/>
      <c r="AQ28" s="72"/>
      <c r="AR28" s="72"/>
      <c r="AS28" s="300">
        <v>27562</v>
      </c>
      <c r="AT28" s="47"/>
      <c r="AU28" s="72"/>
      <c r="AV28" s="72"/>
      <c r="AW28" s="72"/>
      <c r="AX28" s="72"/>
      <c r="AY28" s="72"/>
      <c r="AZ28" s="300"/>
      <c r="BA28" s="47"/>
      <c r="BB28" s="72"/>
      <c r="BC28" s="72"/>
      <c r="BD28" s="72"/>
      <c r="BE28" s="72"/>
      <c r="BF28" s="72"/>
      <c r="BG28" s="300"/>
      <c r="BH28" s="47"/>
      <c r="BI28" s="72"/>
      <c r="BJ28" s="72"/>
      <c r="BK28" s="72"/>
      <c r="BL28" s="72"/>
      <c r="BM28" s="72"/>
      <c r="BN28" s="300"/>
      <c r="BO28" s="47"/>
      <c r="BP28" s="72"/>
      <c r="BQ28" s="72"/>
      <c r="BR28" s="72"/>
      <c r="BS28" s="72"/>
      <c r="BT28" s="72"/>
      <c r="BU28" s="300"/>
      <c r="BV28" s="47"/>
      <c r="BW28" s="72"/>
      <c r="BX28" s="72"/>
      <c r="BY28" s="72"/>
      <c r="BZ28" s="72"/>
      <c r="CA28" s="72"/>
      <c r="CB28" s="300"/>
      <c r="CC28" s="47"/>
      <c r="CD28" s="72"/>
      <c r="CE28" s="72"/>
      <c r="CF28" s="72"/>
      <c r="CG28" s="72"/>
      <c r="CH28" s="72"/>
      <c r="CI28" s="300"/>
      <c r="CJ28" s="47"/>
      <c r="CK28" s="72"/>
      <c r="CL28" s="72"/>
      <c r="CM28" s="72"/>
      <c r="CN28" s="72"/>
      <c r="CO28" s="72"/>
      <c r="CP28" s="305">
        <f t="shared" si="4"/>
        <v>185835</v>
      </c>
      <c r="CQ28" s="36"/>
    </row>
    <row r="29" spans="2:95" s="13" customFormat="1" ht="20.100000000000001" customHeight="1">
      <c r="B29" s="1000"/>
      <c r="C29" s="247" t="s">
        <v>241</v>
      </c>
      <c r="D29" s="47"/>
      <c r="E29" s="72"/>
      <c r="F29" s="72"/>
      <c r="G29" s="72"/>
      <c r="H29" s="72"/>
      <c r="I29" s="72"/>
      <c r="J29" s="300">
        <v>37645</v>
      </c>
      <c r="K29" s="47"/>
      <c r="L29" s="72"/>
      <c r="M29" s="72"/>
      <c r="N29" s="72"/>
      <c r="O29" s="72"/>
      <c r="P29" s="72"/>
      <c r="Q29" s="300">
        <v>36651</v>
      </c>
      <c r="R29" s="47"/>
      <c r="S29" s="72"/>
      <c r="T29" s="72"/>
      <c r="U29" s="72"/>
      <c r="V29" s="72"/>
      <c r="W29" s="72"/>
      <c r="X29" s="300">
        <v>33674</v>
      </c>
      <c r="Y29" s="47"/>
      <c r="Z29" s="72"/>
      <c r="AA29" s="72"/>
      <c r="AB29" s="72"/>
      <c r="AC29" s="72"/>
      <c r="AD29" s="72"/>
      <c r="AE29" s="300">
        <v>38201</v>
      </c>
      <c r="AF29" s="47"/>
      <c r="AG29" s="72"/>
      <c r="AH29" s="72"/>
      <c r="AI29" s="72"/>
      <c r="AJ29" s="72"/>
      <c r="AK29" s="72"/>
      <c r="AL29" s="300">
        <v>31159</v>
      </c>
      <c r="AM29" s="47"/>
      <c r="AN29" s="72"/>
      <c r="AO29" s="72"/>
      <c r="AP29" s="72"/>
      <c r="AQ29" s="72"/>
      <c r="AR29" s="72"/>
      <c r="AS29" s="300">
        <v>32086</v>
      </c>
      <c r="AT29" s="47"/>
      <c r="AU29" s="72"/>
      <c r="AV29" s="72"/>
      <c r="AW29" s="72"/>
      <c r="AX29" s="72"/>
      <c r="AY29" s="72"/>
      <c r="AZ29" s="300"/>
      <c r="BA29" s="47"/>
      <c r="BB29" s="72"/>
      <c r="BC29" s="72"/>
      <c r="BD29" s="72"/>
      <c r="BE29" s="72"/>
      <c r="BF29" s="72"/>
      <c r="BG29" s="300"/>
      <c r="BH29" s="47"/>
      <c r="BI29" s="72"/>
      <c r="BJ29" s="72"/>
      <c r="BK29" s="72"/>
      <c r="BL29" s="72"/>
      <c r="BM29" s="72"/>
      <c r="BN29" s="300"/>
      <c r="BO29" s="47"/>
      <c r="BP29" s="72"/>
      <c r="BQ29" s="72"/>
      <c r="BR29" s="72"/>
      <c r="BS29" s="72"/>
      <c r="BT29" s="72"/>
      <c r="BU29" s="300"/>
      <c r="BV29" s="47"/>
      <c r="BW29" s="72"/>
      <c r="BX29" s="72"/>
      <c r="BY29" s="72"/>
      <c r="BZ29" s="72"/>
      <c r="CA29" s="72"/>
      <c r="CB29" s="300"/>
      <c r="CC29" s="47"/>
      <c r="CD29" s="72"/>
      <c r="CE29" s="72"/>
      <c r="CF29" s="72"/>
      <c r="CG29" s="72"/>
      <c r="CH29" s="72"/>
      <c r="CI29" s="300"/>
      <c r="CJ29" s="47"/>
      <c r="CK29" s="72"/>
      <c r="CL29" s="72"/>
      <c r="CM29" s="72"/>
      <c r="CN29" s="72"/>
      <c r="CO29" s="72"/>
      <c r="CP29" s="305">
        <f t="shared" si="4"/>
        <v>209416</v>
      </c>
      <c r="CQ29" s="36"/>
    </row>
    <row r="30" spans="2:95" s="13" customFormat="1" ht="20.100000000000001" customHeight="1">
      <c r="B30" s="1000"/>
      <c r="C30" s="247" t="s">
        <v>43</v>
      </c>
      <c r="D30" s="47"/>
      <c r="E30" s="72"/>
      <c r="F30" s="72"/>
      <c r="G30" s="72"/>
      <c r="H30" s="72"/>
      <c r="I30" s="72"/>
      <c r="J30" s="299">
        <v>2562.27</v>
      </c>
      <c r="K30" s="47"/>
      <c r="L30" s="72"/>
      <c r="M30" s="72"/>
      <c r="N30" s="72"/>
      <c r="O30" s="72"/>
      <c r="P30" s="72"/>
      <c r="Q30" s="299">
        <v>2438.1</v>
      </c>
      <c r="R30" s="47"/>
      <c r="S30" s="72"/>
      <c r="T30" s="72"/>
      <c r="U30" s="72"/>
      <c r="V30" s="72"/>
      <c r="W30" s="72"/>
      <c r="X30" s="299">
        <v>2299.0100000000002</v>
      </c>
      <c r="Y30" s="47"/>
      <c r="Z30" s="72"/>
      <c r="AA30" s="72"/>
      <c r="AB30" s="72"/>
      <c r="AC30" s="72"/>
      <c r="AD30" s="72"/>
      <c r="AE30" s="299">
        <v>2394.0500000000002</v>
      </c>
      <c r="AF30" s="47"/>
      <c r="AG30" s="72"/>
      <c r="AH30" s="72"/>
      <c r="AI30" s="72"/>
      <c r="AJ30" s="72"/>
      <c r="AK30" s="72"/>
      <c r="AL30" s="299">
        <v>2118.1</v>
      </c>
      <c r="AM30" s="47"/>
      <c r="AN30" s="72"/>
      <c r="AO30" s="72"/>
      <c r="AP30" s="72"/>
      <c r="AQ30" s="72"/>
      <c r="AR30" s="72"/>
      <c r="AS30" s="299">
        <v>2084.4299999999998</v>
      </c>
      <c r="AT30" s="47"/>
      <c r="AU30" s="72"/>
      <c r="AV30" s="72"/>
      <c r="AW30" s="72"/>
      <c r="AX30" s="72"/>
      <c r="AY30" s="72"/>
      <c r="AZ30" s="299"/>
      <c r="BA30" s="47"/>
      <c r="BB30" s="72"/>
      <c r="BC30" s="72"/>
      <c r="BD30" s="72"/>
      <c r="BE30" s="72"/>
      <c r="BF30" s="72"/>
      <c r="BG30" s="299"/>
      <c r="BH30" s="47"/>
      <c r="BI30" s="72"/>
      <c r="BJ30" s="72"/>
      <c r="BK30" s="72"/>
      <c r="BL30" s="72"/>
      <c r="BM30" s="72"/>
      <c r="BN30" s="299"/>
      <c r="BO30" s="47"/>
      <c r="BP30" s="72"/>
      <c r="BQ30" s="72"/>
      <c r="BR30" s="72"/>
      <c r="BS30" s="72"/>
      <c r="BT30" s="72"/>
      <c r="BU30" s="299"/>
      <c r="BV30" s="47"/>
      <c r="BW30" s="72"/>
      <c r="BX30" s="72"/>
      <c r="BY30" s="72"/>
      <c r="BZ30" s="72"/>
      <c r="CA30" s="72"/>
      <c r="CB30" s="299"/>
      <c r="CC30" s="47"/>
      <c r="CD30" s="72"/>
      <c r="CE30" s="72"/>
      <c r="CF30" s="72"/>
      <c r="CG30" s="72"/>
      <c r="CH30" s="72"/>
      <c r="CI30" s="299"/>
      <c r="CJ30" s="47"/>
      <c r="CK30" s="72"/>
      <c r="CL30" s="72"/>
      <c r="CM30" s="72"/>
      <c r="CN30" s="72"/>
      <c r="CO30" s="72"/>
      <c r="CP30" s="304">
        <f t="shared" si="4"/>
        <v>13895.960000000001</v>
      </c>
      <c r="CQ30" s="36"/>
    </row>
    <row r="31" spans="2:95" s="13" customFormat="1" ht="20.100000000000001" customHeight="1">
      <c r="B31" s="1001"/>
      <c r="C31" s="247" t="s">
        <v>41</v>
      </c>
      <c r="D31" s="47"/>
      <c r="E31" s="72"/>
      <c r="F31" s="72"/>
      <c r="G31" s="72"/>
      <c r="H31" s="72"/>
      <c r="I31" s="72"/>
      <c r="J31" s="299">
        <v>1874.39</v>
      </c>
      <c r="K31" s="47"/>
      <c r="L31" s="72"/>
      <c r="M31" s="72"/>
      <c r="N31" s="72"/>
      <c r="O31" s="72"/>
      <c r="P31" s="72"/>
      <c r="Q31" s="299">
        <v>1861.8</v>
      </c>
      <c r="R31" s="47"/>
      <c r="S31" s="72"/>
      <c r="T31" s="72"/>
      <c r="U31" s="72"/>
      <c r="V31" s="72"/>
      <c r="W31" s="72"/>
      <c r="X31" s="299">
        <v>1754.15</v>
      </c>
      <c r="Y31" s="47"/>
      <c r="Z31" s="72"/>
      <c r="AA31" s="72"/>
      <c r="AB31" s="72"/>
      <c r="AC31" s="72"/>
      <c r="AD31" s="72"/>
      <c r="AE31" s="299">
        <v>1872.63</v>
      </c>
      <c r="AF31" s="47"/>
      <c r="AG31" s="72"/>
      <c r="AH31" s="72"/>
      <c r="AI31" s="72"/>
      <c r="AJ31" s="72"/>
      <c r="AK31" s="72"/>
      <c r="AL31" s="299">
        <v>1551.4</v>
      </c>
      <c r="AM31" s="47"/>
      <c r="AN31" s="72"/>
      <c r="AO31" s="72"/>
      <c r="AP31" s="72"/>
      <c r="AQ31" s="72"/>
      <c r="AR31" s="72"/>
      <c r="AS31" s="299">
        <v>1554.95</v>
      </c>
      <c r="AT31" s="47"/>
      <c r="AU31" s="72"/>
      <c r="AV31" s="72"/>
      <c r="AW31" s="72"/>
      <c r="AX31" s="72"/>
      <c r="AY31" s="72"/>
      <c r="AZ31" s="299"/>
      <c r="BA31" s="47"/>
      <c r="BB31" s="72"/>
      <c r="BC31" s="72"/>
      <c r="BD31" s="72"/>
      <c r="BE31" s="72"/>
      <c r="BF31" s="72"/>
      <c r="BG31" s="299"/>
      <c r="BH31" s="47"/>
      <c r="BI31" s="72"/>
      <c r="BJ31" s="72"/>
      <c r="BK31" s="72"/>
      <c r="BL31" s="72"/>
      <c r="BM31" s="72"/>
      <c r="BN31" s="299"/>
      <c r="BO31" s="47"/>
      <c r="BP31" s="72"/>
      <c r="BQ31" s="72"/>
      <c r="BR31" s="72"/>
      <c r="BS31" s="72"/>
      <c r="BT31" s="72"/>
      <c r="BU31" s="299"/>
      <c r="BV31" s="47"/>
      <c r="BW31" s="72"/>
      <c r="BX31" s="72"/>
      <c r="BY31" s="72"/>
      <c r="BZ31" s="72"/>
      <c r="CA31" s="72"/>
      <c r="CB31" s="299"/>
      <c r="CC31" s="47"/>
      <c r="CD31" s="72"/>
      <c r="CE31" s="72"/>
      <c r="CF31" s="72"/>
      <c r="CG31" s="72"/>
      <c r="CH31" s="72"/>
      <c r="CI31" s="299"/>
      <c r="CJ31" s="47"/>
      <c r="CK31" s="72"/>
      <c r="CL31" s="72"/>
      <c r="CM31" s="72"/>
      <c r="CN31" s="72"/>
      <c r="CO31" s="72"/>
      <c r="CP31" s="304">
        <f t="shared" si="4"/>
        <v>10469.320000000002</v>
      </c>
      <c r="CQ31" s="36"/>
    </row>
    <row r="32" spans="2:95" s="13" customFormat="1" ht="20.100000000000001" hidden="1" customHeight="1">
      <c r="B32" s="996" t="s">
        <v>354</v>
      </c>
      <c r="C32" s="247" t="s">
        <v>40</v>
      </c>
      <c r="D32" s="47"/>
      <c r="E32" s="72"/>
      <c r="F32" s="72"/>
      <c r="G32" s="72"/>
      <c r="H32" s="72"/>
      <c r="I32" s="72"/>
      <c r="J32" s="305">
        <f>J28-J23</f>
        <v>31874</v>
      </c>
      <c r="K32" s="47"/>
      <c r="L32" s="72"/>
      <c r="M32" s="72"/>
      <c r="N32" s="72"/>
      <c r="O32" s="72"/>
      <c r="P32" s="72"/>
      <c r="Q32" s="305">
        <f>Q28-Q23</f>
        <v>31984</v>
      </c>
      <c r="R32" s="47"/>
      <c r="S32" s="72"/>
      <c r="T32" s="72"/>
      <c r="U32" s="72"/>
      <c r="V32" s="72"/>
      <c r="W32" s="72"/>
      <c r="X32" s="305">
        <f>X28-X23</f>
        <v>30209</v>
      </c>
      <c r="Y32" s="47"/>
      <c r="Z32" s="72"/>
      <c r="AA32" s="72"/>
      <c r="AB32" s="72"/>
      <c r="AC32" s="72"/>
      <c r="AD32" s="72"/>
      <c r="AE32" s="305">
        <f>AE28-AE23</f>
        <v>32677</v>
      </c>
      <c r="AF32" s="47"/>
      <c r="AG32" s="72"/>
      <c r="AH32" s="72"/>
      <c r="AI32" s="72"/>
      <c r="AJ32" s="72"/>
      <c r="AK32" s="72"/>
      <c r="AL32" s="305">
        <f>AL28-AL23</f>
        <v>26651</v>
      </c>
      <c r="AM32" s="47"/>
      <c r="AN32" s="72"/>
      <c r="AO32" s="72"/>
      <c r="AP32" s="72"/>
      <c r="AQ32" s="72"/>
      <c r="AR32" s="72"/>
      <c r="AS32" s="305">
        <f>AS28-AS23</f>
        <v>26544</v>
      </c>
      <c r="AT32" s="47"/>
      <c r="AU32" s="72"/>
      <c r="AV32" s="72"/>
      <c r="AW32" s="72"/>
      <c r="AX32" s="72"/>
      <c r="AY32" s="72"/>
      <c r="AZ32" s="305">
        <f>AZ28-AZ23</f>
        <v>0</v>
      </c>
      <c r="BA32" s="47"/>
      <c r="BB32" s="72"/>
      <c r="BC32" s="72"/>
      <c r="BD32" s="72"/>
      <c r="BE32" s="72"/>
      <c r="BF32" s="72"/>
      <c r="BG32" s="305">
        <f>BG28-BG23</f>
        <v>0</v>
      </c>
      <c r="BH32" s="47"/>
      <c r="BI32" s="72"/>
      <c r="BJ32" s="72"/>
      <c r="BK32" s="72"/>
      <c r="BL32" s="72"/>
      <c r="BM32" s="72"/>
      <c r="BN32" s="305">
        <f>BN28-BN23</f>
        <v>0</v>
      </c>
      <c r="BO32" s="47"/>
      <c r="BP32" s="72"/>
      <c r="BQ32" s="72"/>
      <c r="BR32" s="72"/>
      <c r="BS32" s="72"/>
      <c r="BT32" s="72"/>
      <c r="BU32" s="305">
        <f>BU28-BU23</f>
        <v>0</v>
      </c>
      <c r="BV32" s="47"/>
      <c r="BW32" s="72"/>
      <c r="BX32" s="72"/>
      <c r="BY32" s="72"/>
      <c r="BZ32" s="72"/>
      <c r="CA32" s="72"/>
      <c r="CB32" s="305">
        <f>CB28-CB23</f>
        <v>0</v>
      </c>
      <c r="CC32" s="47"/>
      <c r="CD32" s="72"/>
      <c r="CE32" s="72"/>
      <c r="CF32" s="72"/>
      <c r="CG32" s="72"/>
      <c r="CH32" s="72"/>
      <c r="CI32" s="305">
        <f>CI28-CI23</f>
        <v>0</v>
      </c>
      <c r="CJ32" s="47"/>
      <c r="CK32" s="72"/>
      <c r="CL32" s="72"/>
      <c r="CM32" s="72"/>
      <c r="CN32" s="72"/>
      <c r="CO32" s="72"/>
      <c r="CP32" s="48">
        <f t="shared" si="4"/>
        <v>179939</v>
      </c>
      <c r="CQ32" s="36"/>
    </row>
    <row r="33" spans="2:95" s="13" customFormat="1" ht="20.100000000000001" hidden="1" customHeight="1">
      <c r="B33" s="997"/>
      <c r="C33" s="247" t="s">
        <v>241</v>
      </c>
      <c r="D33" s="47"/>
      <c r="E33" s="72"/>
      <c r="F33" s="72"/>
      <c r="G33" s="72"/>
      <c r="H33" s="72"/>
      <c r="I33" s="72"/>
      <c r="J33" s="305">
        <f>J29-J24</f>
        <v>36839</v>
      </c>
      <c r="K33" s="47"/>
      <c r="L33" s="72"/>
      <c r="M33" s="72"/>
      <c r="N33" s="72"/>
      <c r="O33" s="72"/>
      <c r="P33" s="72"/>
      <c r="Q33" s="305">
        <f>Q29-Q24</f>
        <v>36003</v>
      </c>
      <c r="R33" s="47"/>
      <c r="S33" s="72"/>
      <c r="T33" s="72"/>
      <c r="U33" s="72"/>
      <c r="V33" s="72"/>
      <c r="W33" s="72"/>
      <c r="X33" s="305">
        <f>X29-X24</f>
        <v>32486</v>
      </c>
      <c r="Y33" s="47"/>
      <c r="Z33" s="72"/>
      <c r="AA33" s="72"/>
      <c r="AB33" s="72"/>
      <c r="AC33" s="72"/>
      <c r="AD33" s="72"/>
      <c r="AE33" s="305">
        <f>AE29-AE24</f>
        <v>37567</v>
      </c>
      <c r="AF33" s="47"/>
      <c r="AG33" s="72"/>
      <c r="AH33" s="72"/>
      <c r="AI33" s="72"/>
      <c r="AJ33" s="72"/>
      <c r="AK33" s="72"/>
      <c r="AL33" s="305">
        <f>AL29-AL24</f>
        <v>30389</v>
      </c>
      <c r="AM33" s="47"/>
      <c r="AN33" s="72"/>
      <c r="AO33" s="72"/>
      <c r="AP33" s="72"/>
      <c r="AQ33" s="72"/>
      <c r="AR33" s="72"/>
      <c r="AS33" s="305">
        <f>AS29-AS24</f>
        <v>31175</v>
      </c>
      <c r="AT33" s="47"/>
      <c r="AU33" s="72"/>
      <c r="AV33" s="72"/>
      <c r="AW33" s="72"/>
      <c r="AX33" s="72"/>
      <c r="AY33" s="72"/>
      <c r="AZ33" s="305">
        <f>AZ29-AZ24</f>
        <v>0</v>
      </c>
      <c r="BA33" s="47"/>
      <c r="BB33" s="72"/>
      <c r="BC33" s="72"/>
      <c r="BD33" s="72"/>
      <c r="BE33" s="72"/>
      <c r="BF33" s="72"/>
      <c r="BG33" s="305">
        <f>BG29-BG24</f>
        <v>0</v>
      </c>
      <c r="BH33" s="47"/>
      <c r="BI33" s="72"/>
      <c r="BJ33" s="72"/>
      <c r="BK33" s="72"/>
      <c r="BL33" s="72"/>
      <c r="BM33" s="72"/>
      <c r="BN33" s="305">
        <f>BN29-BN24</f>
        <v>0</v>
      </c>
      <c r="BO33" s="47"/>
      <c r="BP33" s="72"/>
      <c r="BQ33" s="72"/>
      <c r="BR33" s="72"/>
      <c r="BS33" s="72"/>
      <c r="BT33" s="72"/>
      <c r="BU33" s="305">
        <f>BU29-BU24</f>
        <v>0</v>
      </c>
      <c r="BV33" s="47"/>
      <c r="BW33" s="72"/>
      <c r="BX33" s="72"/>
      <c r="BY33" s="72"/>
      <c r="BZ33" s="72"/>
      <c r="CA33" s="72"/>
      <c r="CB33" s="305">
        <f>CB29-CB24</f>
        <v>0</v>
      </c>
      <c r="CC33" s="47"/>
      <c r="CD33" s="72"/>
      <c r="CE33" s="72"/>
      <c r="CF33" s="72"/>
      <c r="CG33" s="72"/>
      <c r="CH33" s="72"/>
      <c r="CI33" s="305">
        <f>CI29-CI24</f>
        <v>0</v>
      </c>
      <c r="CJ33" s="47"/>
      <c r="CK33" s="72"/>
      <c r="CL33" s="72"/>
      <c r="CM33" s="72"/>
      <c r="CN33" s="72"/>
      <c r="CO33" s="72"/>
      <c r="CP33" s="48">
        <f t="shared" si="4"/>
        <v>204459</v>
      </c>
      <c r="CQ33" s="36"/>
    </row>
    <row r="34" spans="2:95" s="13" customFormat="1" ht="20.100000000000001" hidden="1" customHeight="1">
      <c r="B34" s="997"/>
      <c r="C34" s="247" t="s">
        <v>43</v>
      </c>
      <c r="D34" s="47"/>
      <c r="E34" s="72"/>
      <c r="F34" s="72"/>
      <c r="G34" s="72"/>
      <c r="H34" s="72"/>
      <c r="I34" s="72"/>
      <c r="J34" s="305">
        <f>ROUND(J30-(SUM(E25:I25)),0)</f>
        <v>2470</v>
      </c>
      <c r="K34" s="47"/>
      <c r="L34" s="72"/>
      <c r="M34" s="72"/>
      <c r="N34" s="72"/>
      <c r="O34" s="72"/>
      <c r="P34" s="72"/>
      <c r="Q34" s="305">
        <f>ROUND(Q30-(SUM(L25:P25)),0)</f>
        <v>2360</v>
      </c>
      <c r="R34" s="47"/>
      <c r="S34" s="72"/>
      <c r="T34" s="72"/>
      <c r="U34" s="72"/>
      <c r="V34" s="72"/>
      <c r="W34" s="72"/>
      <c r="X34" s="305">
        <f>ROUND(X30-(SUM(S25:W25)),0)</f>
        <v>2180</v>
      </c>
      <c r="Y34" s="47"/>
      <c r="Z34" s="72"/>
      <c r="AA34" s="72"/>
      <c r="AB34" s="72"/>
      <c r="AC34" s="72"/>
      <c r="AD34" s="72"/>
      <c r="AE34" s="305">
        <f>ROUND(AE30-(SUM(Z25:AD25)),0)</f>
        <v>2314</v>
      </c>
      <c r="AF34" s="47"/>
      <c r="AG34" s="72"/>
      <c r="AH34" s="72"/>
      <c r="AI34" s="72"/>
      <c r="AJ34" s="72"/>
      <c r="AK34" s="72"/>
      <c r="AL34" s="305">
        <f>ROUND(AL30-(SUM(AG25:AK25)),0)</f>
        <v>2019</v>
      </c>
      <c r="AM34" s="47"/>
      <c r="AN34" s="72"/>
      <c r="AO34" s="72"/>
      <c r="AP34" s="72"/>
      <c r="AQ34" s="72"/>
      <c r="AR34" s="72"/>
      <c r="AS34" s="305">
        <f>ROUND(AS30-(SUM(AN25:AR25)),0)</f>
        <v>1985</v>
      </c>
      <c r="AT34" s="47"/>
      <c r="AU34" s="72"/>
      <c r="AV34" s="72"/>
      <c r="AW34" s="72"/>
      <c r="AX34" s="72"/>
      <c r="AY34" s="72"/>
      <c r="AZ34" s="305">
        <f>ROUND(AZ30-(SUM(AU25:AY25)),0)</f>
        <v>0</v>
      </c>
      <c r="BA34" s="47"/>
      <c r="BB34" s="72"/>
      <c r="BC34" s="72"/>
      <c r="BD34" s="72"/>
      <c r="BE34" s="72"/>
      <c r="BF34" s="72"/>
      <c r="BG34" s="305">
        <f>ROUND(BG30-(SUM(BB25:BF25)),0)</f>
        <v>0</v>
      </c>
      <c r="BH34" s="47"/>
      <c r="BI34" s="72"/>
      <c r="BJ34" s="72"/>
      <c r="BK34" s="72"/>
      <c r="BL34" s="72"/>
      <c r="BM34" s="72"/>
      <c r="BN34" s="305">
        <f>ROUND(BN30-(SUM(BI25:BM25)),0)</f>
        <v>0</v>
      </c>
      <c r="BO34" s="47"/>
      <c r="BP34" s="72"/>
      <c r="BQ34" s="72"/>
      <c r="BR34" s="72"/>
      <c r="BS34" s="72"/>
      <c r="BT34" s="72"/>
      <c r="BU34" s="305">
        <f>ROUND(BU30-(SUM(BP25:BT25)),0)</f>
        <v>0</v>
      </c>
      <c r="BV34" s="47"/>
      <c r="BW34" s="72"/>
      <c r="BX34" s="72"/>
      <c r="BY34" s="72"/>
      <c r="BZ34" s="72"/>
      <c r="CA34" s="72"/>
      <c r="CB34" s="305">
        <f>ROUND(CB30-(SUM(BW25:CA25)),0)</f>
        <v>0</v>
      </c>
      <c r="CC34" s="47"/>
      <c r="CD34" s="72"/>
      <c r="CE34" s="72"/>
      <c r="CF34" s="72"/>
      <c r="CG34" s="72"/>
      <c r="CH34" s="72"/>
      <c r="CI34" s="305">
        <f>ROUND(CI30-(SUM(CD25:CH25)),0)</f>
        <v>0</v>
      </c>
      <c r="CJ34" s="47"/>
      <c r="CK34" s="72"/>
      <c r="CL34" s="72"/>
      <c r="CM34" s="72"/>
      <c r="CN34" s="72"/>
      <c r="CO34" s="72"/>
      <c r="CP34" s="48">
        <f t="shared" si="4"/>
        <v>13328</v>
      </c>
      <c r="CQ34" s="36"/>
    </row>
    <row r="35" spans="2:95" s="13" customFormat="1" ht="20.100000000000001" hidden="1" customHeight="1">
      <c r="B35" s="998"/>
      <c r="C35" s="247" t="s">
        <v>41</v>
      </c>
      <c r="D35" s="47"/>
      <c r="E35" s="72"/>
      <c r="F35" s="72"/>
      <c r="G35" s="72"/>
      <c r="H35" s="72"/>
      <c r="I35" s="72"/>
      <c r="J35" s="305">
        <f>ROUND(J31-(SUM(E26:I26)),0)</f>
        <v>1818</v>
      </c>
      <c r="K35" s="47"/>
      <c r="L35" s="72"/>
      <c r="M35" s="72"/>
      <c r="N35" s="72"/>
      <c r="O35" s="72"/>
      <c r="P35" s="72"/>
      <c r="Q35" s="305">
        <f>ROUND(Q31-(SUM(L26:P26)),0)</f>
        <v>1822</v>
      </c>
      <c r="R35" s="47"/>
      <c r="S35" s="72"/>
      <c r="T35" s="72"/>
      <c r="U35" s="72"/>
      <c r="V35" s="72"/>
      <c r="W35" s="72"/>
      <c r="X35" s="305">
        <f>ROUND(X31-(SUM(S26:W26)),0)</f>
        <v>1686</v>
      </c>
      <c r="Y35" s="47"/>
      <c r="Z35" s="72"/>
      <c r="AA35" s="72"/>
      <c r="AB35" s="72"/>
      <c r="AC35" s="72"/>
      <c r="AD35" s="72"/>
      <c r="AE35" s="305">
        <f>ROUND(AE31-(SUM(Z26:AD26)),0)</f>
        <v>1824</v>
      </c>
      <c r="AF35" s="47"/>
      <c r="AG35" s="72"/>
      <c r="AH35" s="72"/>
      <c r="AI35" s="72"/>
      <c r="AJ35" s="72"/>
      <c r="AK35" s="72"/>
      <c r="AL35" s="305">
        <f>ROUND(AL31-(SUM(AG26:AK26)),0)</f>
        <v>1504</v>
      </c>
      <c r="AM35" s="47"/>
      <c r="AN35" s="72"/>
      <c r="AO35" s="72"/>
      <c r="AP35" s="72"/>
      <c r="AQ35" s="72"/>
      <c r="AR35" s="72"/>
      <c r="AS35" s="305">
        <f>ROUND(AS31-(SUM(AN26:AR26)),0)</f>
        <v>1502</v>
      </c>
      <c r="AT35" s="47"/>
      <c r="AU35" s="72"/>
      <c r="AV35" s="72"/>
      <c r="AW35" s="72"/>
      <c r="AX35" s="72"/>
      <c r="AY35" s="72"/>
      <c r="AZ35" s="305">
        <f>ROUND(AZ31-(SUM(AU26:AY26)),0)</f>
        <v>0</v>
      </c>
      <c r="BA35" s="47"/>
      <c r="BB35" s="72"/>
      <c r="BC35" s="72"/>
      <c r="BD35" s="72"/>
      <c r="BE35" s="72"/>
      <c r="BF35" s="72"/>
      <c r="BG35" s="305">
        <f>ROUND(BG31-(SUM(BB26:BF26)),0)</f>
        <v>0</v>
      </c>
      <c r="BH35" s="47"/>
      <c r="BI35" s="72"/>
      <c r="BJ35" s="72"/>
      <c r="BK35" s="72"/>
      <c r="BL35" s="72"/>
      <c r="BM35" s="72"/>
      <c r="BN35" s="305">
        <f>ROUND(BN31-(SUM(BI26:BM26)),0)</f>
        <v>0</v>
      </c>
      <c r="BO35" s="47"/>
      <c r="BP35" s="72"/>
      <c r="BQ35" s="72"/>
      <c r="BR35" s="72"/>
      <c r="BS35" s="72"/>
      <c r="BT35" s="72"/>
      <c r="BU35" s="305">
        <f>ROUND(BU31-(SUM(BP26:BT26)),0)</f>
        <v>0</v>
      </c>
      <c r="BV35" s="47"/>
      <c r="BW35" s="72"/>
      <c r="BX35" s="72"/>
      <c r="BY35" s="72"/>
      <c r="BZ35" s="72"/>
      <c r="CA35" s="72"/>
      <c r="CB35" s="305">
        <f>ROUND(CB31-(SUM(BW26:CA26)),0)</f>
        <v>0</v>
      </c>
      <c r="CC35" s="47"/>
      <c r="CD35" s="72"/>
      <c r="CE35" s="72"/>
      <c r="CF35" s="72"/>
      <c r="CG35" s="72"/>
      <c r="CH35" s="72"/>
      <c r="CI35" s="305">
        <f>ROUND(CI31-(SUM(CD26:CH26)),0)</f>
        <v>0</v>
      </c>
      <c r="CJ35" s="47"/>
      <c r="CK35" s="72"/>
      <c r="CL35" s="72"/>
      <c r="CM35" s="72"/>
      <c r="CN35" s="72"/>
      <c r="CO35" s="72"/>
      <c r="CP35" s="48">
        <f t="shared" si="4"/>
        <v>10156</v>
      </c>
      <c r="CQ35" s="36"/>
    </row>
    <row r="36" spans="2:95" s="346" customFormat="1" ht="7.2" customHeight="1">
      <c r="B36" s="341"/>
      <c r="C36" s="342"/>
      <c r="D36" s="343"/>
      <c r="E36" s="344"/>
      <c r="F36" s="344"/>
      <c r="G36" s="344"/>
      <c r="H36" s="344"/>
      <c r="I36" s="344"/>
      <c r="J36" s="344"/>
      <c r="K36" s="343"/>
      <c r="L36" s="344"/>
      <c r="M36" s="344"/>
      <c r="N36" s="344"/>
      <c r="O36" s="344"/>
      <c r="P36" s="344"/>
      <c r="Q36" s="344"/>
      <c r="R36" s="343"/>
      <c r="S36" s="344"/>
      <c r="T36" s="344"/>
      <c r="U36" s="344"/>
      <c r="V36" s="344"/>
      <c r="W36" s="344"/>
      <c r="X36" s="344"/>
      <c r="Y36" s="343"/>
      <c r="Z36" s="344"/>
      <c r="AA36" s="344"/>
      <c r="AB36" s="344"/>
      <c r="AC36" s="344"/>
      <c r="AD36" s="344"/>
      <c r="AE36" s="344"/>
      <c r="AF36" s="343"/>
      <c r="AG36" s="344"/>
      <c r="AH36" s="344"/>
      <c r="AI36" s="344"/>
      <c r="AJ36" s="344"/>
      <c r="AK36" s="344"/>
      <c r="AL36" s="344"/>
      <c r="AM36" s="343"/>
      <c r="AN36" s="344"/>
      <c r="AO36" s="344"/>
      <c r="AP36" s="344"/>
      <c r="AQ36" s="344"/>
      <c r="AR36" s="344"/>
      <c r="AS36" s="344"/>
      <c r="AT36" s="343"/>
      <c r="AU36" s="344"/>
      <c r="AV36" s="344"/>
      <c r="AW36" s="344"/>
      <c r="AX36" s="344"/>
      <c r="AY36" s="344"/>
      <c r="AZ36" s="344"/>
      <c r="BA36" s="343"/>
      <c r="BB36" s="344"/>
      <c r="BC36" s="344"/>
      <c r="BD36" s="344"/>
      <c r="BE36" s="344"/>
      <c r="BF36" s="344"/>
      <c r="BG36" s="344"/>
      <c r="BH36" s="343"/>
      <c r="BI36" s="344"/>
      <c r="BJ36" s="344"/>
      <c r="BK36" s="344"/>
      <c r="BL36" s="344"/>
      <c r="BM36" s="344"/>
      <c r="BN36" s="344"/>
      <c r="BO36" s="343"/>
      <c r="BP36" s="344"/>
      <c r="BQ36" s="344"/>
      <c r="BR36" s="344"/>
      <c r="BS36" s="344"/>
      <c r="BT36" s="344"/>
      <c r="BU36" s="344"/>
      <c r="BV36" s="343"/>
      <c r="BW36" s="344"/>
      <c r="BX36" s="344"/>
      <c r="BY36" s="344"/>
      <c r="BZ36" s="344"/>
      <c r="CA36" s="344"/>
      <c r="CB36" s="344"/>
      <c r="CC36" s="343"/>
      <c r="CD36" s="344"/>
      <c r="CE36" s="344"/>
      <c r="CF36" s="344"/>
      <c r="CG36" s="344"/>
      <c r="CH36" s="344"/>
      <c r="CI36" s="344"/>
      <c r="CJ36" s="343"/>
      <c r="CK36" s="344"/>
      <c r="CL36" s="344"/>
      <c r="CM36" s="344"/>
      <c r="CN36" s="344"/>
      <c r="CO36" s="344"/>
      <c r="CP36" s="344"/>
      <c r="CQ36" s="345"/>
    </row>
    <row r="37" spans="2:95" s="13" customFormat="1" ht="20.100000000000001" customHeight="1">
      <c r="B37" s="993" t="s">
        <v>355</v>
      </c>
      <c r="C37" s="309" t="s">
        <v>40</v>
      </c>
      <c r="D37" s="47"/>
      <c r="E37" s="52">
        <v>179</v>
      </c>
      <c r="F37" s="52">
        <v>188</v>
      </c>
      <c r="G37" s="52">
        <v>147</v>
      </c>
      <c r="H37" s="52">
        <v>161</v>
      </c>
      <c r="I37" s="52"/>
      <c r="J37" s="48">
        <f t="shared" ref="J37:J55" si="6">SUM(E37:I37)</f>
        <v>675</v>
      </c>
      <c r="K37" s="47"/>
      <c r="L37" s="52">
        <v>162</v>
      </c>
      <c r="M37" s="52">
        <v>189</v>
      </c>
      <c r="N37" s="52">
        <v>214</v>
      </c>
      <c r="O37" s="52">
        <v>187</v>
      </c>
      <c r="P37" s="52">
        <v>187</v>
      </c>
      <c r="Q37" s="48">
        <f t="shared" ref="Q37:Q38" si="7">SUM(L37:P37)</f>
        <v>939</v>
      </c>
      <c r="R37" s="47"/>
      <c r="S37" s="52">
        <v>198</v>
      </c>
      <c r="T37" s="52">
        <v>195</v>
      </c>
      <c r="U37" s="52">
        <v>176</v>
      </c>
      <c r="V37" s="52">
        <v>187</v>
      </c>
      <c r="W37" s="52"/>
      <c r="X37" s="48">
        <f t="shared" ref="X37:X38" si="8">SUM(S37:W37)</f>
        <v>756</v>
      </c>
      <c r="Y37" s="47"/>
      <c r="Z37" s="52">
        <v>154</v>
      </c>
      <c r="AA37" s="52">
        <v>195</v>
      </c>
      <c r="AB37" s="52">
        <v>153</v>
      </c>
      <c r="AC37" s="52">
        <v>182</v>
      </c>
      <c r="AD37" s="52"/>
      <c r="AE37" s="48">
        <f t="shared" ref="AE37:AE38" si="9">SUM(Z37:AD37)</f>
        <v>684</v>
      </c>
      <c r="AF37" s="47"/>
      <c r="AG37" s="52">
        <v>196</v>
      </c>
      <c r="AH37" s="52">
        <v>178</v>
      </c>
      <c r="AI37" s="52">
        <v>183</v>
      </c>
      <c r="AJ37" s="52">
        <v>175</v>
      </c>
      <c r="AK37" s="52">
        <v>180</v>
      </c>
      <c r="AL37" s="48">
        <f t="shared" ref="AL37:AL38" si="10">SUM(AG37:AK37)</f>
        <v>912</v>
      </c>
      <c r="AM37" s="47"/>
      <c r="AN37" s="52">
        <v>165</v>
      </c>
      <c r="AO37" s="52">
        <v>164</v>
      </c>
      <c r="AP37" s="52">
        <v>169</v>
      </c>
      <c r="AQ37" s="52">
        <v>180</v>
      </c>
      <c r="AR37" s="52"/>
      <c r="AS37" s="48">
        <f t="shared" ref="AS37:AS38" si="11">SUM(AN37:AR37)</f>
        <v>678</v>
      </c>
      <c r="AT37" s="47"/>
      <c r="AU37" s="52"/>
      <c r="AV37" s="52"/>
      <c r="AW37" s="52"/>
      <c r="AX37" s="52"/>
      <c r="AY37" s="52"/>
      <c r="AZ37" s="48">
        <f t="shared" ref="AZ37:AZ38" si="12">SUM(AU37:AY37)</f>
        <v>0</v>
      </c>
      <c r="BA37" s="47"/>
      <c r="BB37" s="52"/>
      <c r="BC37" s="52"/>
      <c r="BD37" s="52"/>
      <c r="BE37" s="52"/>
      <c r="BF37" s="52"/>
      <c r="BG37" s="48">
        <f t="shared" ref="BG37:BG38" si="13">SUM(BB37:BF37)</f>
        <v>0</v>
      </c>
      <c r="BH37" s="47"/>
      <c r="BI37" s="52"/>
      <c r="BJ37" s="52"/>
      <c r="BK37" s="52"/>
      <c r="BL37" s="52"/>
      <c r="BM37" s="52"/>
      <c r="BN37" s="48">
        <f t="shared" ref="BN37:BN38" si="14">SUM(BI37:BM37)</f>
        <v>0</v>
      </c>
      <c r="BO37" s="47"/>
      <c r="BP37" s="52"/>
      <c r="BQ37" s="52"/>
      <c r="BR37" s="52"/>
      <c r="BS37" s="52"/>
      <c r="BT37" s="52"/>
      <c r="BU37" s="48">
        <f t="shared" ref="BU37:BU38" si="15">SUM(BP37:BT37)</f>
        <v>0</v>
      </c>
      <c r="BV37" s="47"/>
      <c r="BW37" s="52"/>
      <c r="BX37" s="52"/>
      <c r="BY37" s="52"/>
      <c r="BZ37" s="52"/>
      <c r="CA37" s="52"/>
      <c r="CB37" s="48">
        <f t="shared" ref="CB37:CB38" si="16">SUM(BW37:CA37)</f>
        <v>0</v>
      </c>
      <c r="CC37" s="47"/>
      <c r="CD37" s="52"/>
      <c r="CE37" s="52"/>
      <c r="CF37" s="52"/>
      <c r="CG37" s="52"/>
      <c r="CH37" s="52"/>
      <c r="CI37" s="48">
        <f t="shared" ref="CI37:CI38" si="17">SUM(CD37:CH37)</f>
        <v>0</v>
      </c>
      <c r="CJ37" s="47"/>
      <c r="CK37" s="303">
        <f t="shared" si="5"/>
        <v>1054</v>
      </c>
      <c r="CL37" s="303">
        <f t="shared" si="0"/>
        <v>1109</v>
      </c>
      <c r="CM37" s="303">
        <f t="shared" si="1"/>
        <v>1042</v>
      </c>
      <c r="CN37" s="303">
        <f t="shared" si="2"/>
        <v>1072</v>
      </c>
      <c r="CO37" s="303">
        <f t="shared" si="3"/>
        <v>367</v>
      </c>
      <c r="CP37" s="48">
        <f t="shared" si="4"/>
        <v>4644</v>
      </c>
      <c r="CQ37" s="36"/>
    </row>
    <row r="38" spans="2:95" s="13" customFormat="1" ht="20.100000000000001" customHeight="1">
      <c r="B38" s="994"/>
      <c r="C38" s="309" t="s">
        <v>42</v>
      </c>
      <c r="D38" s="47"/>
      <c r="E38" s="52">
        <v>258</v>
      </c>
      <c r="F38" s="52">
        <v>242</v>
      </c>
      <c r="G38" s="52">
        <v>226</v>
      </c>
      <c r="H38" s="52">
        <v>231</v>
      </c>
      <c r="I38" s="52"/>
      <c r="J38" s="48">
        <f t="shared" si="6"/>
        <v>957</v>
      </c>
      <c r="K38" s="47"/>
      <c r="L38" s="52">
        <v>226</v>
      </c>
      <c r="M38" s="52">
        <v>262</v>
      </c>
      <c r="N38" s="52">
        <v>287</v>
      </c>
      <c r="O38" s="52">
        <v>263</v>
      </c>
      <c r="P38" s="52">
        <v>278</v>
      </c>
      <c r="Q38" s="48">
        <f t="shared" si="7"/>
        <v>1316</v>
      </c>
      <c r="R38" s="47"/>
      <c r="S38" s="52">
        <v>239</v>
      </c>
      <c r="T38" s="52">
        <v>282</v>
      </c>
      <c r="U38" s="52">
        <v>232</v>
      </c>
      <c r="V38" s="52">
        <v>259</v>
      </c>
      <c r="W38" s="52"/>
      <c r="X38" s="48">
        <f t="shared" si="8"/>
        <v>1012</v>
      </c>
      <c r="Y38" s="47"/>
      <c r="Z38" s="52">
        <v>230</v>
      </c>
      <c r="AA38" s="52">
        <v>236</v>
      </c>
      <c r="AB38" s="52">
        <v>194</v>
      </c>
      <c r="AC38" s="52">
        <v>222</v>
      </c>
      <c r="AD38" s="52"/>
      <c r="AE38" s="48">
        <f t="shared" si="9"/>
        <v>882</v>
      </c>
      <c r="AF38" s="47"/>
      <c r="AG38" s="52">
        <v>237</v>
      </c>
      <c r="AH38" s="52">
        <v>218</v>
      </c>
      <c r="AI38" s="52">
        <v>224</v>
      </c>
      <c r="AJ38" s="52">
        <v>218</v>
      </c>
      <c r="AK38" s="52">
        <v>217</v>
      </c>
      <c r="AL38" s="48">
        <f t="shared" si="10"/>
        <v>1114</v>
      </c>
      <c r="AM38" s="47"/>
      <c r="AN38" s="52">
        <v>217</v>
      </c>
      <c r="AO38" s="52">
        <v>215</v>
      </c>
      <c r="AP38" s="52">
        <v>220</v>
      </c>
      <c r="AQ38" s="52">
        <v>221</v>
      </c>
      <c r="AR38" s="52"/>
      <c r="AS38" s="48">
        <f t="shared" si="11"/>
        <v>873</v>
      </c>
      <c r="AT38" s="47"/>
      <c r="AU38" s="52"/>
      <c r="AV38" s="52"/>
      <c r="AW38" s="52"/>
      <c r="AX38" s="52"/>
      <c r="AY38" s="52"/>
      <c r="AZ38" s="48">
        <f t="shared" si="12"/>
        <v>0</v>
      </c>
      <c r="BA38" s="47"/>
      <c r="BB38" s="52"/>
      <c r="BC38" s="52"/>
      <c r="BD38" s="52"/>
      <c r="BE38" s="52"/>
      <c r="BF38" s="52"/>
      <c r="BG38" s="48">
        <f t="shared" si="13"/>
        <v>0</v>
      </c>
      <c r="BH38" s="47"/>
      <c r="BI38" s="52"/>
      <c r="BJ38" s="52"/>
      <c r="BK38" s="52"/>
      <c r="BL38" s="52"/>
      <c r="BM38" s="52"/>
      <c r="BN38" s="48">
        <f t="shared" si="14"/>
        <v>0</v>
      </c>
      <c r="BO38" s="47"/>
      <c r="BP38" s="52"/>
      <c r="BQ38" s="52"/>
      <c r="BR38" s="52"/>
      <c r="BS38" s="52"/>
      <c r="BT38" s="52"/>
      <c r="BU38" s="48">
        <f t="shared" si="15"/>
        <v>0</v>
      </c>
      <c r="BV38" s="47"/>
      <c r="BW38" s="52"/>
      <c r="BX38" s="52"/>
      <c r="BY38" s="52"/>
      <c r="BZ38" s="52"/>
      <c r="CA38" s="52"/>
      <c r="CB38" s="48">
        <f t="shared" si="16"/>
        <v>0</v>
      </c>
      <c r="CC38" s="47"/>
      <c r="CD38" s="52"/>
      <c r="CE38" s="52"/>
      <c r="CF38" s="52"/>
      <c r="CG38" s="52"/>
      <c r="CH38" s="52"/>
      <c r="CI38" s="48">
        <f t="shared" si="17"/>
        <v>0</v>
      </c>
      <c r="CJ38" s="47"/>
      <c r="CK38" s="303">
        <f t="shared" si="5"/>
        <v>1407</v>
      </c>
      <c r="CL38" s="303">
        <f t="shared" si="0"/>
        <v>1455</v>
      </c>
      <c r="CM38" s="303">
        <f t="shared" si="1"/>
        <v>1383</v>
      </c>
      <c r="CN38" s="303">
        <f t="shared" si="2"/>
        <v>1414</v>
      </c>
      <c r="CO38" s="303">
        <f t="shared" si="3"/>
        <v>495</v>
      </c>
      <c r="CP38" s="48">
        <f t="shared" si="4"/>
        <v>6154</v>
      </c>
      <c r="CQ38" s="36"/>
    </row>
    <row r="39" spans="2:95" s="13" customFormat="1" ht="20.100000000000001" customHeight="1">
      <c r="B39" s="994"/>
      <c r="C39" s="309" t="s">
        <v>41</v>
      </c>
      <c r="D39" s="47"/>
      <c r="E39" s="299">
        <v>10.3</v>
      </c>
      <c r="F39" s="299">
        <v>10.3</v>
      </c>
      <c r="G39" s="299">
        <v>10.3</v>
      </c>
      <c r="H39" s="299">
        <v>10.3</v>
      </c>
      <c r="I39" s="299"/>
      <c r="J39" s="48">
        <f>ROUND((SUM(E39:I39)),0)</f>
        <v>41</v>
      </c>
      <c r="K39" s="47"/>
      <c r="L39" s="299">
        <v>10.3</v>
      </c>
      <c r="M39" s="299">
        <v>10.3</v>
      </c>
      <c r="N39" s="299">
        <v>10.3</v>
      </c>
      <c r="O39" s="299">
        <v>10.3</v>
      </c>
      <c r="P39" s="299">
        <v>10.3</v>
      </c>
      <c r="Q39" s="48">
        <f>ROUND((SUM(L39:P39)),0)</f>
        <v>52</v>
      </c>
      <c r="R39" s="47"/>
      <c r="S39" s="299">
        <v>10.3</v>
      </c>
      <c r="T39" s="299">
        <v>10.3</v>
      </c>
      <c r="U39" s="299">
        <v>10.3</v>
      </c>
      <c r="V39" s="299">
        <v>10.3</v>
      </c>
      <c r="W39" s="299"/>
      <c r="X39" s="48">
        <f>ROUND((SUM(S39:W39)),0)</f>
        <v>41</v>
      </c>
      <c r="Y39" s="47"/>
      <c r="Z39" s="299">
        <v>10.3</v>
      </c>
      <c r="AA39" s="299">
        <v>10.3</v>
      </c>
      <c r="AB39" s="299">
        <v>10.3</v>
      </c>
      <c r="AC39" s="299">
        <v>10.3</v>
      </c>
      <c r="AD39" s="299"/>
      <c r="AE39" s="48">
        <f>ROUND((SUM(Z39:AD39)),0)</f>
        <v>41</v>
      </c>
      <c r="AF39" s="47"/>
      <c r="AG39" s="299">
        <v>10.3</v>
      </c>
      <c r="AH39" s="299">
        <v>10.3</v>
      </c>
      <c r="AI39" s="299">
        <v>10.3</v>
      </c>
      <c r="AJ39" s="299">
        <v>10.3</v>
      </c>
      <c r="AK39" s="299">
        <v>10.3</v>
      </c>
      <c r="AL39" s="48">
        <f>ROUND((SUM(AG39:AK39)),0)</f>
        <v>52</v>
      </c>
      <c r="AM39" s="47"/>
      <c r="AN39" s="299">
        <v>10.3</v>
      </c>
      <c r="AO39" s="299">
        <v>10.3</v>
      </c>
      <c r="AP39" s="299">
        <v>10.3</v>
      </c>
      <c r="AQ39" s="299">
        <v>10.3</v>
      </c>
      <c r="AR39" s="299"/>
      <c r="AS39" s="48">
        <f>ROUND((SUM(AN39:AR39)),0)</f>
        <v>41</v>
      </c>
      <c r="AT39" s="47"/>
      <c r="AU39" s="299"/>
      <c r="AV39" s="299"/>
      <c r="AW39" s="299"/>
      <c r="AX39" s="299"/>
      <c r="AY39" s="299"/>
      <c r="AZ39" s="48">
        <f>ROUND((SUM(AU39:AY39)),0)</f>
        <v>0</v>
      </c>
      <c r="BA39" s="47"/>
      <c r="BB39" s="299"/>
      <c r="BC39" s="299"/>
      <c r="BD39" s="299"/>
      <c r="BE39" s="299"/>
      <c r="BF39" s="299"/>
      <c r="BG39" s="48">
        <f>ROUND((SUM(BB39:BF39)),0)</f>
        <v>0</v>
      </c>
      <c r="BH39" s="47"/>
      <c r="BI39" s="299"/>
      <c r="BJ39" s="299"/>
      <c r="BK39" s="299"/>
      <c r="BL39" s="299"/>
      <c r="BM39" s="299"/>
      <c r="BN39" s="48">
        <f>ROUND((SUM(BI39:BM39)),0)</f>
        <v>0</v>
      </c>
      <c r="BO39" s="47"/>
      <c r="BP39" s="299"/>
      <c r="BQ39" s="299"/>
      <c r="BR39" s="299"/>
      <c r="BS39" s="299"/>
      <c r="BT39" s="299"/>
      <c r="BU39" s="48">
        <f>ROUND((SUM(BP39:BT39)),0)</f>
        <v>0</v>
      </c>
      <c r="BV39" s="47"/>
      <c r="BW39" s="299"/>
      <c r="BX39" s="299"/>
      <c r="BY39" s="299"/>
      <c r="BZ39" s="299"/>
      <c r="CA39" s="299"/>
      <c r="CB39" s="48">
        <f>ROUND((SUM(BW39:CA39)),0)</f>
        <v>0</v>
      </c>
      <c r="CC39" s="47"/>
      <c r="CD39" s="299"/>
      <c r="CE39" s="299"/>
      <c r="CF39" s="299"/>
      <c r="CG39" s="299"/>
      <c r="CH39" s="299"/>
      <c r="CI39" s="48">
        <f>ROUND((SUM(CD39:CH39)),0)</f>
        <v>0</v>
      </c>
      <c r="CJ39" s="47"/>
      <c r="CK39" s="304">
        <f t="shared" si="5"/>
        <v>61.8</v>
      </c>
      <c r="CL39" s="304">
        <f t="shared" si="0"/>
        <v>61.8</v>
      </c>
      <c r="CM39" s="304">
        <f t="shared" si="1"/>
        <v>61.8</v>
      </c>
      <c r="CN39" s="304">
        <f t="shared" si="2"/>
        <v>61.8</v>
      </c>
      <c r="CO39" s="304">
        <f t="shared" si="3"/>
        <v>20.6</v>
      </c>
      <c r="CP39" s="48">
        <f>ROUND(SUM(J39+Q39+X39+AE39+AL39+AS39+AZ39+BG39+BN39+BU39+CB39+CI39),0)</f>
        <v>268</v>
      </c>
      <c r="CQ39" s="36"/>
    </row>
    <row r="40" spans="2:95" s="13" customFormat="1" ht="20.100000000000001" customHeight="1">
      <c r="B40" s="995"/>
      <c r="C40" s="309" t="s">
        <v>43</v>
      </c>
      <c r="D40" s="47"/>
      <c r="E40" s="299">
        <v>11.9</v>
      </c>
      <c r="F40" s="299">
        <v>12.15</v>
      </c>
      <c r="G40" s="299">
        <v>11.9</v>
      </c>
      <c r="H40" s="299">
        <v>12.15</v>
      </c>
      <c r="I40" s="299"/>
      <c r="J40" s="48">
        <f>ROUND((SUM(E40:I40)),0)</f>
        <v>48</v>
      </c>
      <c r="K40" s="47"/>
      <c r="L40" s="299">
        <v>12.15</v>
      </c>
      <c r="M40" s="299">
        <v>12.15</v>
      </c>
      <c r="N40" s="299">
        <v>12.15</v>
      </c>
      <c r="O40" s="299">
        <v>12.15</v>
      </c>
      <c r="P40" s="299">
        <v>12.15</v>
      </c>
      <c r="Q40" s="48">
        <f>ROUND((SUM(L40:P40)),0)</f>
        <v>61</v>
      </c>
      <c r="R40" s="47"/>
      <c r="S40" s="299">
        <v>11.9</v>
      </c>
      <c r="T40" s="299">
        <v>12.4</v>
      </c>
      <c r="U40" s="299">
        <v>12.15</v>
      </c>
      <c r="V40" s="299">
        <v>12.32</v>
      </c>
      <c r="W40" s="299"/>
      <c r="X40" s="48">
        <f>ROUND((SUM(S40:W40)),0)</f>
        <v>49</v>
      </c>
      <c r="Y40" s="47"/>
      <c r="Z40" s="299">
        <v>12.15</v>
      </c>
      <c r="AA40" s="299">
        <v>11.32</v>
      </c>
      <c r="AB40" s="299">
        <v>12.15</v>
      </c>
      <c r="AC40" s="299">
        <v>11.32</v>
      </c>
      <c r="AD40" s="299"/>
      <c r="AE40" s="48">
        <f>ROUND((SUM(Z40:AD40)),0)</f>
        <v>47</v>
      </c>
      <c r="AF40" s="47"/>
      <c r="AG40" s="299">
        <v>11.32</v>
      </c>
      <c r="AH40" s="299">
        <v>11.32</v>
      </c>
      <c r="AI40" s="299">
        <v>11.32</v>
      </c>
      <c r="AJ40" s="299">
        <v>12.15</v>
      </c>
      <c r="AK40" s="299">
        <v>12.15</v>
      </c>
      <c r="AL40" s="48">
        <f>ROUND((SUM(AG40:AK40)),0)</f>
        <v>58</v>
      </c>
      <c r="AM40" s="47"/>
      <c r="AN40" s="299">
        <v>12.15</v>
      </c>
      <c r="AO40" s="299">
        <v>12.15</v>
      </c>
      <c r="AP40" s="299">
        <v>12.15</v>
      </c>
      <c r="AQ40" s="299">
        <v>12.15</v>
      </c>
      <c r="AR40" s="299"/>
      <c r="AS40" s="48">
        <f>ROUND((SUM(AN40:AR40)),0)</f>
        <v>49</v>
      </c>
      <c r="AT40" s="47"/>
      <c r="AU40" s="299"/>
      <c r="AV40" s="299"/>
      <c r="AW40" s="299"/>
      <c r="AX40" s="299"/>
      <c r="AY40" s="299"/>
      <c r="AZ40" s="48">
        <f>ROUND((SUM(AU40:AY40)),0)</f>
        <v>0</v>
      </c>
      <c r="BA40" s="47"/>
      <c r="BB40" s="299"/>
      <c r="BC40" s="299"/>
      <c r="BD40" s="299"/>
      <c r="BE40" s="299"/>
      <c r="BF40" s="299"/>
      <c r="BG40" s="48">
        <f>ROUND((SUM(BB40:BF40)),0)</f>
        <v>0</v>
      </c>
      <c r="BH40" s="47"/>
      <c r="BI40" s="299"/>
      <c r="BJ40" s="299"/>
      <c r="BK40" s="299"/>
      <c r="BL40" s="299"/>
      <c r="BM40" s="299"/>
      <c r="BN40" s="48">
        <f>ROUND((SUM(BI40:BM40)),0)</f>
        <v>0</v>
      </c>
      <c r="BO40" s="47"/>
      <c r="BP40" s="299"/>
      <c r="BQ40" s="299"/>
      <c r="BR40" s="299"/>
      <c r="BS40" s="299"/>
      <c r="BT40" s="299"/>
      <c r="BU40" s="48">
        <f>ROUND((SUM(BP40:BT40)),0)</f>
        <v>0</v>
      </c>
      <c r="BV40" s="47"/>
      <c r="BW40" s="299"/>
      <c r="BX40" s="299"/>
      <c r="BY40" s="299"/>
      <c r="BZ40" s="299"/>
      <c r="CA40" s="299"/>
      <c r="CB40" s="48">
        <f>ROUND((SUM(BW40:CA40)),0)</f>
        <v>0</v>
      </c>
      <c r="CC40" s="47"/>
      <c r="CD40" s="299"/>
      <c r="CE40" s="299"/>
      <c r="CF40" s="299"/>
      <c r="CG40" s="299"/>
      <c r="CH40" s="299"/>
      <c r="CI40" s="48">
        <f>ROUND((SUM(CD40:CH40)),0)</f>
        <v>0</v>
      </c>
      <c r="CJ40" s="47"/>
      <c r="CK40" s="304">
        <f t="shared" si="5"/>
        <v>71.570000000000007</v>
      </c>
      <c r="CL40" s="304">
        <f t="shared" si="0"/>
        <v>71.490000000000009</v>
      </c>
      <c r="CM40" s="304">
        <f t="shared" si="1"/>
        <v>71.820000000000007</v>
      </c>
      <c r="CN40" s="304">
        <f t="shared" si="2"/>
        <v>72.240000000000009</v>
      </c>
      <c r="CO40" s="304">
        <f t="shared" si="3"/>
        <v>24.3</v>
      </c>
      <c r="CP40" s="48">
        <f>ROUND(SUM(J40+Q40+X40+AE40+AL40+AS40+AZ40+BG40+BN40+BU40+CB40+CI40),0)</f>
        <v>312</v>
      </c>
      <c r="CQ40" s="36"/>
    </row>
    <row r="41" spans="2:95" s="346" customFormat="1" ht="7.2" customHeight="1">
      <c r="B41" s="341"/>
      <c r="C41" s="342"/>
      <c r="D41" s="343"/>
      <c r="E41" s="344"/>
      <c r="F41" s="344"/>
      <c r="G41" s="344"/>
      <c r="H41" s="344"/>
      <c r="I41" s="344"/>
      <c r="J41" s="344"/>
      <c r="K41" s="343"/>
      <c r="L41" s="344"/>
      <c r="M41" s="344"/>
      <c r="N41" s="344"/>
      <c r="O41" s="344"/>
      <c r="P41" s="344"/>
      <c r="Q41" s="344"/>
      <c r="R41" s="343"/>
      <c r="S41" s="344"/>
      <c r="T41" s="344"/>
      <c r="U41" s="344"/>
      <c r="V41" s="344"/>
      <c r="W41" s="344"/>
      <c r="X41" s="344"/>
      <c r="Y41" s="343"/>
      <c r="Z41" s="344"/>
      <c r="AA41" s="344"/>
      <c r="AB41" s="344"/>
      <c r="AC41" s="344"/>
      <c r="AD41" s="344"/>
      <c r="AE41" s="344"/>
      <c r="AF41" s="343"/>
      <c r="AG41" s="344"/>
      <c r="AH41" s="344"/>
      <c r="AI41" s="344"/>
      <c r="AJ41" s="344"/>
      <c r="AK41" s="344"/>
      <c r="AL41" s="344"/>
      <c r="AM41" s="343"/>
      <c r="AN41" s="344"/>
      <c r="AO41" s="344"/>
      <c r="AP41" s="344"/>
      <c r="AQ41" s="344"/>
      <c r="AR41" s="344"/>
      <c r="AS41" s="344"/>
      <c r="AT41" s="343"/>
      <c r="AU41" s="344"/>
      <c r="AV41" s="344"/>
      <c r="AW41" s="344"/>
      <c r="AX41" s="344"/>
      <c r="AY41" s="344"/>
      <c r="AZ41" s="344"/>
      <c r="BA41" s="343"/>
      <c r="BB41" s="344"/>
      <c r="BC41" s="344"/>
      <c r="BD41" s="344"/>
      <c r="BE41" s="344"/>
      <c r="BF41" s="344"/>
      <c r="BG41" s="344"/>
      <c r="BH41" s="343"/>
      <c r="BI41" s="344"/>
      <c r="BJ41" s="344"/>
      <c r="BK41" s="344"/>
      <c r="BL41" s="344"/>
      <c r="BM41" s="344"/>
      <c r="BN41" s="344"/>
      <c r="BO41" s="343"/>
      <c r="BP41" s="344"/>
      <c r="BQ41" s="344"/>
      <c r="BR41" s="344"/>
      <c r="BS41" s="344"/>
      <c r="BT41" s="344"/>
      <c r="BU41" s="344"/>
      <c r="BV41" s="343"/>
      <c r="BW41" s="344"/>
      <c r="BX41" s="344"/>
      <c r="BY41" s="344"/>
      <c r="BZ41" s="344"/>
      <c r="CA41" s="344"/>
      <c r="CB41" s="344"/>
      <c r="CC41" s="343"/>
      <c r="CD41" s="344"/>
      <c r="CE41" s="344"/>
      <c r="CF41" s="344"/>
      <c r="CG41" s="344"/>
      <c r="CH41" s="344"/>
      <c r="CI41" s="344"/>
      <c r="CJ41" s="343"/>
      <c r="CK41" s="344"/>
      <c r="CL41" s="344"/>
      <c r="CM41" s="344"/>
      <c r="CN41" s="344"/>
      <c r="CO41" s="344"/>
      <c r="CP41" s="344"/>
      <c r="CQ41" s="345"/>
    </row>
    <row r="42" spans="2:95" s="13" customFormat="1" ht="20.100000000000001" customHeight="1">
      <c r="B42" s="999" t="s">
        <v>356</v>
      </c>
      <c r="C42" s="247" t="s">
        <v>40</v>
      </c>
      <c r="D42" s="47"/>
      <c r="E42" s="72"/>
      <c r="F42" s="72"/>
      <c r="G42" s="72"/>
      <c r="H42" s="72"/>
      <c r="I42" s="72"/>
      <c r="J42" s="52">
        <v>4002</v>
      </c>
      <c r="K42" s="47"/>
      <c r="L42" s="72"/>
      <c r="M42" s="72"/>
      <c r="N42" s="72"/>
      <c r="O42" s="72"/>
      <c r="P42" s="72"/>
      <c r="Q42" s="52">
        <v>4306</v>
      </c>
      <c r="R42" s="47"/>
      <c r="S42" s="72"/>
      <c r="T42" s="72"/>
      <c r="U42" s="72"/>
      <c r="V42" s="72"/>
      <c r="W42" s="72"/>
      <c r="X42" s="52">
        <v>3743</v>
      </c>
      <c r="Y42" s="47"/>
      <c r="Z42" s="72"/>
      <c r="AA42" s="72"/>
      <c r="AB42" s="72"/>
      <c r="AC42" s="72"/>
      <c r="AD42" s="72"/>
      <c r="AE42" s="52">
        <v>4223</v>
      </c>
      <c r="AF42" s="47"/>
      <c r="AG42" s="72"/>
      <c r="AH42" s="72"/>
      <c r="AI42" s="72"/>
      <c r="AJ42" s="72"/>
      <c r="AK42" s="72"/>
      <c r="AL42" s="52">
        <v>3933</v>
      </c>
      <c r="AM42" s="47"/>
      <c r="AN42" s="72"/>
      <c r="AO42" s="72"/>
      <c r="AP42" s="72"/>
      <c r="AQ42" s="72"/>
      <c r="AR42" s="72"/>
      <c r="AS42" s="52">
        <v>3797</v>
      </c>
      <c r="AT42" s="47"/>
      <c r="AU42" s="72"/>
      <c r="AV42" s="72"/>
      <c r="AW42" s="72"/>
      <c r="AX42" s="72"/>
      <c r="AY42" s="72"/>
      <c r="AZ42" s="52"/>
      <c r="BA42" s="47"/>
      <c r="BB42" s="72"/>
      <c r="BC42" s="72"/>
      <c r="BD42" s="72"/>
      <c r="BE42" s="72"/>
      <c r="BF42" s="72"/>
      <c r="BG42" s="52"/>
      <c r="BH42" s="47"/>
      <c r="BI42" s="72"/>
      <c r="BJ42" s="72"/>
      <c r="BK42" s="72"/>
      <c r="BL42" s="72"/>
      <c r="BM42" s="72"/>
      <c r="BN42" s="52"/>
      <c r="BO42" s="47"/>
      <c r="BP42" s="72"/>
      <c r="BQ42" s="72"/>
      <c r="BR42" s="72"/>
      <c r="BS42" s="72"/>
      <c r="BT42" s="72"/>
      <c r="BU42" s="52"/>
      <c r="BV42" s="47"/>
      <c r="BW42" s="72"/>
      <c r="BX42" s="72"/>
      <c r="BY42" s="72"/>
      <c r="BZ42" s="72"/>
      <c r="CA42" s="72"/>
      <c r="CB42" s="52"/>
      <c r="CC42" s="47"/>
      <c r="CD42" s="72"/>
      <c r="CE42" s="72"/>
      <c r="CF42" s="72"/>
      <c r="CG42" s="72"/>
      <c r="CH42" s="72"/>
      <c r="CI42" s="52"/>
      <c r="CJ42" s="47"/>
      <c r="CK42" s="72"/>
      <c r="CL42" s="72"/>
      <c r="CM42" s="72"/>
      <c r="CN42" s="72"/>
      <c r="CO42" s="72"/>
      <c r="CP42" s="303">
        <f t="shared" si="4"/>
        <v>24004</v>
      </c>
      <c r="CQ42" s="36"/>
    </row>
    <row r="43" spans="2:95" s="13" customFormat="1" ht="20.100000000000001" customHeight="1">
      <c r="B43" s="1000"/>
      <c r="C43" s="247" t="s">
        <v>41</v>
      </c>
      <c r="D43" s="47"/>
      <c r="E43" s="72"/>
      <c r="F43" s="72"/>
      <c r="G43" s="72"/>
      <c r="H43" s="72"/>
      <c r="I43" s="72"/>
      <c r="J43" s="299">
        <v>224.53</v>
      </c>
      <c r="K43" s="47"/>
      <c r="L43" s="72"/>
      <c r="M43" s="72"/>
      <c r="N43" s="72"/>
      <c r="O43" s="72"/>
      <c r="P43" s="72"/>
      <c r="Q43" s="299">
        <v>234.83</v>
      </c>
      <c r="R43" s="47"/>
      <c r="S43" s="72"/>
      <c r="T43" s="72"/>
      <c r="U43" s="72"/>
      <c r="V43" s="72"/>
      <c r="W43" s="72"/>
      <c r="X43" s="299">
        <v>207.87</v>
      </c>
      <c r="Y43" s="47"/>
      <c r="Z43" s="72"/>
      <c r="AA43" s="72"/>
      <c r="AB43" s="72"/>
      <c r="AC43" s="72"/>
      <c r="AD43" s="72"/>
      <c r="AE43" s="299">
        <v>232.87</v>
      </c>
      <c r="AF43" s="47"/>
      <c r="AG43" s="72"/>
      <c r="AH43" s="72"/>
      <c r="AI43" s="72"/>
      <c r="AJ43" s="72"/>
      <c r="AK43" s="72"/>
      <c r="AL43" s="299">
        <v>218.17</v>
      </c>
      <c r="AM43" s="47"/>
      <c r="AN43" s="72"/>
      <c r="AO43" s="72"/>
      <c r="AP43" s="72"/>
      <c r="AQ43" s="72"/>
      <c r="AR43" s="72"/>
      <c r="AS43" s="299">
        <v>215.22</v>
      </c>
      <c r="AT43" s="47"/>
      <c r="AU43" s="72"/>
      <c r="AV43" s="72"/>
      <c r="AW43" s="72"/>
      <c r="AX43" s="72"/>
      <c r="AY43" s="72"/>
      <c r="AZ43" s="299"/>
      <c r="BA43" s="47"/>
      <c r="BB43" s="72"/>
      <c r="BC43" s="72"/>
      <c r="BD43" s="72"/>
      <c r="BE43" s="72"/>
      <c r="BF43" s="72"/>
      <c r="BG43" s="299"/>
      <c r="BH43" s="47"/>
      <c r="BI43" s="72"/>
      <c r="BJ43" s="72"/>
      <c r="BK43" s="72"/>
      <c r="BL43" s="72"/>
      <c r="BM43" s="72"/>
      <c r="BN43" s="299"/>
      <c r="BO43" s="47"/>
      <c r="BP43" s="72"/>
      <c r="BQ43" s="72"/>
      <c r="BR43" s="72"/>
      <c r="BS43" s="72"/>
      <c r="BT43" s="72"/>
      <c r="BU43" s="299"/>
      <c r="BV43" s="47"/>
      <c r="BW43" s="72"/>
      <c r="BX43" s="72"/>
      <c r="BY43" s="72"/>
      <c r="BZ43" s="72"/>
      <c r="CA43" s="72"/>
      <c r="CB43" s="299"/>
      <c r="CC43" s="47"/>
      <c r="CD43" s="72"/>
      <c r="CE43" s="72"/>
      <c r="CF43" s="72"/>
      <c r="CG43" s="72"/>
      <c r="CH43" s="72"/>
      <c r="CI43" s="299"/>
      <c r="CJ43" s="47"/>
      <c r="CK43" s="72"/>
      <c r="CL43" s="72"/>
      <c r="CM43" s="72"/>
      <c r="CN43" s="72"/>
      <c r="CO43" s="72"/>
      <c r="CP43" s="304">
        <f t="shared" si="4"/>
        <v>1333.49</v>
      </c>
      <c r="CQ43" s="36"/>
    </row>
    <row r="44" spans="2:95" s="13" customFormat="1" ht="20.100000000000001" customHeight="1">
      <c r="B44" s="1001"/>
      <c r="C44" s="247" t="s">
        <v>43</v>
      </c>
      <c r="D44" s="47"/>
      <c r="E44" s="72"/>
      <c r="F44" s="72"/>
      <c r="G44" s="72"/>
      <c r="H44" s="72"/>
      <c r="I44" s="72"/>
      <c r="J44" s="299">
        <v>266.63</v>
      </c>
      <c r="K44" s="47"/>
      <c r="L44" s="72"/>
      <c r="M44" s="72"/>
      <c r="N44" s="72"/>
      <c r="O44" s="72"/>
      <c r="P44" s="72"/>
      <c r="Q44" s="299">
        <v>279.27999999999997</v>
      </c>
      <c r="R44" s="47"/>
      <c r="S44" s="72"/>
      <c r="T44" s="72"/>
      <c r="U44" s="72"/>
      <c r="V44" s="72"/>
      <c r="W44" s="72"/>
      <c r="X44" s="299">
        <v>247.52</v>
      </c>
      <c r="Y44" s="47"/>
      <c r="Z44" s="72"/>
      <c r="AA44" s="72"/>
      <c r="AB44" s="72"/>
      <c r="AC44" s="72"/>
      <c r="AD44" s="72"/>
      <c r="AE44" s="299">
        <v>274.98</v>
      </c>
      <c r="AF44" s="47"/>
      <c r="AG44" s="72"/>
      <c r="AH44" s="72"/>
      <c r="AI44" s="72"/>
      <c r="AJ44" s="72"/>
      <c r="AK44" s="72"/>
      <c r="AL44" s="299">
        <v>257.25</v>
      </c>
      <c r="AM44" s="47"/>
      <c r="AN44" s="72"/>
      <c r="AO44" s="72"/>
      <c r="AP44" s="72"/>
      <c r="AQ44" s="72"/>
      <c r="AR44" s="72"/>
      <c r="AS44" s="299">
        <v>257.37</v>
      </c>
      <c r="AT44" s="47"/>
      <c r="AU44" s="72"/>
      <c r="AV44" s="72"/>
      <c r="AW44" s="72"/>
      <c r="AX44" s="72"/>
      <c r="AY44" s="72"/>
      <c r="AZ44" s="299"/>
      <c r="BA44" s="47"/>
      <c r="BB44" s="72"/>
      <c r="BC44" s="72"/>
      <c r="BD44" s="72"/>
      <c r="BE44" s="72"/>
      <c r="BF44" s="72"/>
      <c r="BG44" s="299"/>
      <c r="BH44" s="47"/>
      <c r="BI44" s="72"/>
      <c r="BJ44" s="72"/>
      <c r="BK44" s="72"/>
      <c r="BL44" s="72"/>
      <c r="BM44" s="72"/>
      <c r="BN44" s="299"/>
      <c r="BO44" s="47"/>
      <c r="BP44" s="72"/>
      <c r="BQ44" s="72"/>
      <c r="BR44" s="72"/>
      <c r="BS44" s="72"/>
      <c r="BT44" s="72"/>
      <c r="BU44" s="299"/>
      <c r="BV44" s="47"/>
      <c r="BW44" s="72"/>
      <c r="BX44" s="72"/>
      <c r="BY44" s="72"/>
      <c r="BZ44" s="72"/>
      <c r="CA44" s="72"/>
      <c r="CB44" s="299"/>
      <c r="CC44" s="47"/>
      <c r="CD44" s="72"/>
      <c r="CE44" s="72"/>
      <c r="CF44" s="72"/>
      <c r="CG44" s="72"/>
      <c r="CH44" s="72"/>
      <c r="CI44" s="299"/>
      <c r="CJ44" s="47"/>
      <c r="CK44" s="72"/>
      <c r="CL44" s="72"/>
      <c r="CM44" s="72"/>
      <c r="CN44" s="72"/>
      <c r="CO44" s="72"/>
      <c r="CP44" s="304">
        <f t="shared" si="4"/>
        <v>1583.0299999999997</v>
      </c>
      <c r="CQ44" s="36"/>
    </row>
    <row r="45" spans="2:95" s="346" customFormat="1" ht="7.2" customHeight="1">
      <c r="B45" s="341"/>
      <c r="C45" s="342"/>
      <c r="D45" s="343"/>
      <c r="E45" s="344"/>
      <c r="F45" s="344"/>
      <c r="G45" s="344"/>
      <c r="H45" s="344"/>
      <c r="I45" s="344"/>
      <c r="J45" s="344"/>
      <c r="K45" s="343"/>
      <c r="L45" s="344"/>
      <c r="M45" s="344"/>
      <c r="N45" s="344"/>
      <c r="O45" s="344"/>
      <c r="P45" s="344"/>
      <c r="Q45" s="344"/>
      <c r="R45" s="343"/>
      <c r="S45" s="344"/>
      <c r="T45" s="344"/>
      <c r="U45" s="344"/>
      <c r="V45" s="344"/>
      <c r="W45" s="344"/>
      <c r="X45" s="344"/>
      <c r="Y45" s="343"/>
      <c r="Z45" s="344"/>
      <c r="AA45" s="344"/>
      <c r="AB45" s="344"/>
      <c r="AC45" s="344"/>
      <c r="AD45" s="344"/>
      <c r="AE45" s="344"/>
      <c r="AF45" s="343"/>
      <c r="AG45" s="344"/>
      <c r="AH45" s="344"/>
      <c r="AI45" s="344"/>
      <c r="AJ45" s="344"/>
      <c r="AK45" s="344"/>
      <c r="AL45" s="344"/>
      <c r="AM45" s="343"/>
      <c r="AN45" s="344"/>
      <c r="AO45" s="344"/>
      <c r="AP45" s="344"/>
      <c r="AQ45" s="344"/>
      <c r="AR45" s="344"/>
      <c r="AS45" s="344"/>
      <c r="AT45" s="343"/>
      <c r="AU45" s="344"/>
      <c r="AV45" s="344"/>
      <c r="AW45" s="344"/>
      <c r="AX45" s="344"/>
      <c r="AY45" s="344"/>
      <c r="AZ45" s="344"/>
      <c r="BA45" s="343"/>
      <c r="BB45" s="344"/>
      <c r="BC45" s="344"/>
      <c r="BD45" s="344"/>
      <c r="BE45" s="344"/>
      <c r="BF45" s="344"/>
      <c r="BG45" s="344"/>
      <c r="BH45" s="343"/>
      <c r="BI45" s="344"/>
      <c r="BJ45" s="344"/>
      <c r="BK45" s="344"/>
      <c r="BL45" s="344"/>
      <c r="BM45" s="344"/>
      <c r="BN45" s="344"/>
      <c r="BO45" s="343"/>
      <c r="BP45" s="344"/>
      <c r="BQ45" s="344"/>
      <c r="BR45" s="344"/>
      <c r="BS45" s="344"/>
      <c r="BT45" s="344"/>
      <c r="BU45" s="344"/>
      <c r="BV45" s="343"/>
      <c r="BW45" s="344"/>
      <c r="BX45" s="344"/>
      <c r="BY45" s="344"/>
      <c r="BZ45" s="344"/>
      <c r="CA45" s="344"/>
      <c r="CB45" s="344"/>
      <c r="CC45" s="343"/>
      <c r="CD45" s="344"/>
      <c r="CE45" s="344"/>
      <c r="CF45" s="344"/>
      <c r="CG45" s="344"/>
      <c r="CH45" s="344"/>
      <c r="CI45" s="344"/>
      <c r="CJ45" s="343"/>
      <c r="CK45" s="344"/>
      <c r="CL45" s="344"/>
      <c r="CM45" s="344"/>
      <c r="CN45" s="344"/>
      <c r="CO45" s="344"/>
      <c r="CP45" s="344"/>
      <c r="CQ45" s="345"/>
    </row>
    <row r="46" spans="2:95" s="13" customFormat="1" ht="20.100000000000001" customHeight="1">
      <c r="B46" s="999" t="s">
        <v>357</v>
      </c>
      <c r="C46" s="247" t="s">
        <v>40</v>
      </c>
      <c r="D46" s="47"/>
      <c r="E46" s="72"/>
      <c r="F46" s="72"/>
      <c r="G46" s="72"/>
      <c r="H46" s="72"/>
      <c r="I46" s="72"/>
      <c r="J46" s="52">
        <v>4840</v>
      </c>
      <c r="K46" s="47"/>
      <c r="L46" s="72"/>
      <c r="M46" s="72"/>
      <c r="N46" s="72"/>
      <c r="O46" s="72"/>
      <c r="P46" s="72"/>
      <c r="Q46" s="52">
        <v>4853</v>
      </c>
      <c r="R46" s="47"/>
      <c r="S46" s="72"/>
      <c r="T46" s="72"/>
      <c r="U46" s="72"/>
      <c r="V46" s="72"/>
      <c r="W46" s="72"/>
      <c r="X46" s="52">
        <v>4405</v>
      </c>
      <c r="Y46" s="47"/>
      <c r="Z46" s="72"/>
      <c r="AA46" s="72"/>
      <c r="AB46" s="72"/>
      <c r="AC46" s="72"/>
      <c r="AD46" s="72"/>
      <c r="AE46" s="52">
        <v>5048</v>
      </c>
      <c r="AF46" s="47"/>
      <c r="AG46" s="72"/>
      <c r="AH46" s="72"/>
      <c r="AI46" s="72"/>
      <c r="AJ46" s="72"/>
      <c r="AK46" s="72"/>
      <c r="AL46" s="52">
        <v>4338</v>
      </c>
      <c r="AM46" s="47"/>
      <c r="AN46" s="72"/>
      <c r="AO46" s="72"/>
      <c r="AP46" s="72"/>
      <c r="AQ46" s="72"/>
      <c r="AR46" s="72"/>
      <c r="AS46" s="52">
        <v>4619</v>
      </c>
      <c r="AT46" s="47"/>
      <c r="AU46" s="72"/>
      <c r="AV46" s="72"/>
      <c r="AW46" s="72"/>
      <c r="AX46" s="72"/>
      <c r="AY46" s="72"/>
      <c r="AZ46" s="52"/>
      <c r="BA46" s="47"/>
      <c r="BB46" s="72"/>
      <c r="BC46" s="72"/>
      <c r="BD46" s="72"/>
      <c r="BE46" s="72"/>
      <c r="BF46" s="72"/>
      <c r="BG46" s="52"/>
      <c r="BH46" s="47"/>
      <c r="BI46" s="72"/>
      <c r="BJ46" s="72"/>
      <c r="BK46" s="72"/>
      <c r="BL46" s="72"/>
      <c r="BM46" s="72"/>
      <c r="BN46" s="52"/>
      <c r="BO46" s="47"/>
      <c r="BP46" s="72"/>
      <c r="BQ46" s="72"/>
      <c r="BR46" s="72"/>
      <c r="BS46" s="72"/>
      <c r="BT46" s="72"/>
      <c r="BU46" s="52"/>
      <c r="BV46" s="47"/>
      <c r="BW46" s="72"/>
      <c r="BX46" s="72"/>
      <c r="BY46" s="72"/>
      <c r="BZ46" s="72"/>
      <c r="CA46" s="72"/>
      <c r="CB46" s="52"/>
      <c r="CC46" s="47"/>
      <c r="CD46" s="72"/>
      <c r="CE46" s="72"/>
      <c r="CF46" s="72"/>
      <c r="CG46" s="72"/>
      <c r="CH46" s="72"/>
      <c r="CI46" s="52"/>
      <c r="CJ46" s="47"/>
      <c r="CK46" s="72"/>
      <c r="CL46" s="72"/>
      <c r="CM46" s="72"/>
      <c r="CN46" s="72"/>
      <c r="CO46" s="72"/>
      <c r="CP46" s="303">
        <f t="shared" si="4"/>
        <v>28103</v>
      </c>
      <c r="CQ46" s="36"/>
    </row>
    <row r="47" spans="2:95" s="13" customFormat="1" ht="20.100000000000001" customHeight="1">
      <c r="B47" s="1000"/>
      <c r="C47" s="247" t="s">
        <v>41</v>
      </c>
      <c r="D47" s="47"/>
      <c r="E47" s="72"/>
      <c r="F47" s="72"/>
      <c r="G47" s="72"/>
      <c r="H47" s="72"/>
      <c r="I47" s="72"/>
      <c r="J47" s="299">
        <v>243.83</v>
      </c>
      <c r="K47" s="47"/>
      <c r="L47" s="72"/>
      <c r="M47" s="72"/>
      <c r="N47" s="72"/>
      <c r="O47" s="72"/>
      <c r="P47" s="72"/>
      <c r="Q47" s="299">
        <v>243.83</v>
      </c>
      <c r="R47" s="47"/>
      <c r="S47" s="72"/>
      <c r="T47" s="72"/>
      <c r="U47" s="72"/>
      <c r="V47" s="72"/>
      <c r="W47" s="72"/>
      <c r="X47" s="299">
        <v>221.67</v>
      </c>
      <c r="Y47" s="47"/>
      <c r="Z47" s="72"/>
      <c r="AA47" s="72"/>
      <c r="AB47" s="72"/>
      <c r="AC47" s="72"/>
      <c r="AD47" s="72"/>
      <c r="AE47" s="299">
        <v>254.92</v>
      </c>
      <c r="AF47" s="47"/>
      <c r="AG47" s="72"/>
      <c r="AH47" s="72"/>
      <c r="AI47" s="72"/>
      <c r="AJ47" s="72"/>
      <c r="AK47" s="72"/>
      <c r="AL47" s="299">
        <v>220.68</v>
      </c>
      <c r="AM47" s="47"/>
      <c r="AN47" s="72"/>
      <c r="AO47" s="72"/>
      <c r="AP47" s="72"/>
      <c r="AQ47" s="72"/>
      <c r="AR47" s="72"/>
      <c r="AS47" s="299">
        <v>232.75</v>
      </c>
      <c r="AT47" s="47"/>
      <c r="AU47" s="72"/>
      <c r="AV47" s="72"/>
      <c r="AW47" s="72"/>
      <c r="AX47" s="72"/>
      <c r="AY47" s="72"/>
      <c r="AZ47" s="299"/>
      <c r="BA47" s="47"/>
      <c r="BB47" s="72"/>
      <c r="BC47" s="72"/>
      <c r="BD47" s="72"/>
      <c r="BE47" s="72"/>
      <c r="BF47" s="72"/>
      <c r="BG47" s="299"/>
      <c r="BH47" s="47"/>
      <c r="BI47" s="72"/>
      <c r="BJ47" s="72"/>
      <c r="BK47" s="72"/>
      <c r="BL47" s="72"/>
      <c r="BM47" s="72"/>
      <c r="BN47" s="299"/>
      <c r="BO47" s="47"/>
      <c r="BP47" s="72"/>
      <c r="BQ47" s="72"/>
      <c r="BR47" s="72"/>
      <c r="BS47" s="72"/>
      <c r="BT47" s="72"/>
      <c r="BU47" s="299"/>
      <c r="BV47" s="47"/>
      <c r="BW47" s="72"/>
      <c r="BX47" s="72"/>
      <c r="BY47" s="72"/>
      <c r="BZ47" s="72"/>
      <c r="CA47" s="72"/>
      <c r="CB47" s="299"/>
      <c r="CC47" s="47"/>
      <c r="CD47" s="72"/>
      <c r="CE47" s="72"/>
      <c r="CF47" s="72"/>
      <c r="CG47" s="72"/>
      <c r="CH47" s="72"/>
      <c r="CI47" s="299"/>
      <c r="CJ47" s="47"/>
      <c r="CK47" s="72"/>
      <c r="CL47" s="72"/>
      <c r="CM47" s="72"/>
      <c r="CN47" s="72"/>
      <c r="CO47" s="72"/>
      <c r="CP47" s="304">
        <f t="shared" si="4"/>
        <v>1417.68</v>
      </c>
      <c r="CQ47" s="36"/>
    </row>
    <row r="48" spans="2:95" s="13" customFormat="1" ht="20.100000000000001" customHeight="1">
      <c r="B48" s="1001"/>
      <c r="C48" s="247" t="s">
        <v>43</v>
      </c>
      <c r="D48" s="47"/>
      <c r="E48" s="72"/>
      <c r="F48" s="72"/>
      <c r="G48" s="72"/>
      <c r="H48" s="72"/>
      <c r="I48" s="72"/>
      <c r="J48" s="299">
        <v>278.52</v>
      </c>
      <c r="K48" s="47"/>
      <c r="L48" s="72"/>
      <c r="M48" s="72"/>
      <c r="N48" s="72"/>
      <c r="O48" s="72"/>
      <c r="P48" s="72"/>
      <c r="Q48" s="299">
        <v>278.52999999999997</v>
      </c>
      <c r="R48" s="47"/>
      <c r="S48" s="72"/>
      <c r="T48" s="72"/>
      <c r="U48" s="72"/>
      <c r="V48" s="72"/>
      <c r="W48" s="72"/>
      <c r="X48" s="299">
        <v>254.17</v>
      </c>
      <c r="Y48" s="47"/>
      <c r="Z48" s="72"/>
      <c r="AA48" s="72"/>
      <c r="AB48" s="72"/>
      <c r="AC48" s="72"/>
      <c r="AD48" s="72"/>
      <c r="AE48" s="299">
        <v>291.72000000000003</v>
      </c>
      <c r="AF48" s="47"/>
      <c r="AG48" s="72"/>
      <c r="AH48" s="72"/>
      <c r="AI48" s="72"/>
      <c r="AJ48" s="72"/>
      <c r="AK48" s="72"/>
      <c r="AL48" s="299">
        <v>252.68</v>
      </c>
      <c r="AM48" s="47"/>
      <c r="AN48" s="72"/>
      <c r="AO48" s="72"/>
      <c r="AP48" s="72"/>
      <c r="AQ48" s="72"/>
      <c r="AR48" s="72"/>
      <c r="AS48" s="299">
        <v>267.10000000000002</v>
      </c>
      <c r="AT48" s="47"/>
      <c r="AU48" s="72"/>
      <c r="AV48" s="72"/>
      <c r="AW48" s="72"/>
      <c r="AX48" s="72"/>
      <c r="AY48" s="72"/>
      <c r="AZ48" s="299"/>
      <c r="BA48" s="47"/>
      <c r="BB48" s="72"/>
      <c r="BC48" s="72"/>
      <c r="BD48" s="72"/>
      <c r="BE48" s="72"/>
      <c r="BF48" s="72"/>
      <c r="BG48" s="299"/>
      <c r="BH48" s="47"/>
      <c r="BI48" s="72"/>
      <c r="BJ48" s="72"/>
      <c r="BK48" s="72"/>
      <c r="BL48" s="72"/>
      <c r="BM48" s="72"/>
      <c r="BN48" s="299"/>
      <c r="BO48" s="47"/>
      <c r="BP48" s="72"/>
      <c r="BQ48" s="72"/>
      <c r="BR48" s="72"/>
      <c r="BS48" s="72"/>
      <c r="BT48" s="72"/>
      <c r="BU48" s="299"/>
      <c r="BV48" s="47"/>
      <c r="BW48" s="72"/>
      <c r="BX48" s="72"/>
      <c r="BY48" s="72"/>
      <c r="BZ48" s="72"/>
      <c r="CA48" s="72"/>
      <c r="CB48" s="299"/>
      <c r="CC48" s="47"/>
      <c r="CD48" s="72"/>
      <c r="CE48" s="72"/>
      <c r="CF48" s="72"/>
      <c r="CG48" s="72"/>
      <c r="CH48" s="72"/>
      <c r="CI48" s="299"/>
      <c r="CJ48" s="47"/>
      <c r="CK48" s="72"/>
      <c r="CL48" s="72"/>
      <c r="CM48" s="72"/>
      <c r="CN48" s="72"/>
      <c r="CO48" s="72"/>
      <c r="CP48" s="304">
        <f t="shared" si="4"/>
        <v>1622.7200000000003</v>
      </c>
      <c r="CQ48" s="36"/>
    </row>
    <row r="49" spans="2:95" s="346" customFormat="1" ht="7.2" customHeight="1">
      <c r="B49" s="341"/>
      <c r="C49" s="342"/>
      <c r="D49" s="343"/>
      <c r="E49" s="344"/>
      <c r="F49" s="344"/>
      <c r="G49" s="344"/>
      <c r="H49" s="344"/>
      <c r="I49" s="344"/>
      <c r="J49" s="344"/>
      <c r="K49" s="343"/>
      <c r="L49" s="344"/>
      <c r="M49" s="344"/>
      <c r="N49" s="344"/>
      <c r="O49" s="344"/>
      <c r="P49" s="344"/>
      <c r="Q49" s="344"/>
      <c r="R49" s="343"/>
      <c r="S49" s="344"/>
      <c r="T49" s="344"/>
      <c r="U49" s="344"/>
      <c r="V49" s="344"/>
      <c r="W49" s="344"/>
      <c r="X49" s="344"/>
      <c r="Y49" s="343"/>
      <c r="Z49" s="344"/>
      <c r="AA49" s="344"/>
      <c r="AB49" s="344"/>
      <c r="AC49" s="344"/>
      <c r="AD49" s="344"/>
      <c r="AE49" s="344"/>
      <c r="AF49" s="343"/>
      <c r="AG49" s="344"/>
      <c r="AH49" s="344"/>
      <c r="AI49" s="344"/>
      <c r="AJ49" s="344"/>
      <c r="AK49" s="344"/>
      <c r="AL49" s="344"/>
      <c r="AM49" s="343"/>
      <c r="AN49" s="344"/>
      <c r="AO49" s="344"/>
      <c r="AP49" s="344"/>
      <c r="AQ49" s="344"/>
      <c r="AR49" s="344"/>
      <c r="AS49" s="344"/>
      <c r="AT49" s="343"/>
      <c r="AU49" s="344"/>
      <c r="AV49" s="344"/>
      <c r="AW49" s="344"/>
      <c r="AX49" s="344"/>
      <c r="AY49" s="344"/>
      <c r="AZ49" s="344"/>
      <c r="BA49" s="343"/>
      <c r="BB49" s="344"/>
      <c r="BC49" s="344"/>
      <c r="BD49" s="344"/>
      <c r="BE49" s="344"/>
      <c r="BF49" s="344"/>
      <c r="BG49" s="344"/>
      <c r="BH49" s="343"/>
      <c r="BI49" s="344"/>
      <c r="BJ49" s="344"/>
      <c r="BK49" s="344"/>
      <c r="BL49" s="344"/>
      <c r="BM49" s="344"/>
      <c r="BN49" s="344"/>
      <c r="BO49" s="343"/>
      <c r="BP49" s="344"/>
      <c r="BQ49" s="344"/>
      <c r="BR49" s="344"/>
      <c r="BS49" s="344"/>
      <c r="BT49" s="344"/>
      <c r="BU49" s="344"/>
      <c r="BV49" s="343"/>
      <c r="BW49" s="344"/>
      <c r="BX49" s="344"/>
      <c r="BY49" s="344"/>
      <c r="BZ49" s="344"/>
      <c r="CA49" s="344"/>
      <c r="CB49" s="344"/>
      <c r="CC49" s="343"/>
      <c r="CD49" s="344"/>
      <c r="CE49" s="344"/>
      <c r="CF49" s="344"/>
      <c r="CG49" s="344"/>
      <c r="CH49" s="344"/>
      <c r="CI49" s="344"/>
      <c r="CJ49" s="343"/>
      <c r="CK49" s="344"/>
      <c r="CL49" s="344"/>
      <c r="CM49" s="344"/>
      <c r="CN49" s="344"/>
      <c r="CO49" s="344"/>
      <c r="CP49" s="344"/>
      <c r="CQ49" s="345"/>
    </row>
    <row r="50" spans="2:95" s="13" customFormat="1" ht="20.100000000000001" customHeight="1">
      <c r="B50" s="999" t="s">
        <v>358</v>
      </c>
      <c r="C50" s="247" t="s">
        <v>40</v>
      </c>
      <c r="D50" s="47"/>
      <c r="E50" s="72"/>
      <c r="F50" s="72"/>
      <c r="G50" s="72"/>
      <c r="H50" s="72"/>
      <c r="I50" s="72"/>
      <c r="J50" s="52">
        <v>3064</v>
      </c>
      <c r="K50" s="47"/>
      <c r="L50" s="72"/>
      <c r="M50" s="72"/>
      <c r="N50" s="72"/>
      <c r="O50" s="72"/>
      <c r="P50" s="72"/>
      <c r="Q50" s="52">
        <v>3098</v>
      </c>
      <c r="R50" s="47"/>
      <c r="S50" s="72"/>
      <c r="T50" s="72"/>
      <c r="U50" s="72"/>
      <c r="V50" s="72"/>
      <c r="W50" s="72"/>
      <c r="X50" s="52">
        <v>2932</v>
      </c>
      <c r="Y50" s="47"/>
      <c r="Z50" s="72"/>
      <c r="AA50" s="72"/>
      <c r="AB50" s="72"/>
      <c r="AC50" s="72"/>
      <c r="AD50" s="72"/>
      <c r="AE50" s="52">
        <v>3367</v>
      </c>
      <c r="AF50" s="47"/>
      <c r="AG50" s="72"/>
      <c r="AH50" s="72"/>
      <c r="AI50" s="72"/>
      <c r="AJ50" s="72"/>
      <c r="AK50" s="72"/>
      <c r="AL50" s="52">
        <v>2940</v>
      </c>
      <c r="AM50" s="47"/>
      <c r="AN50" s="72"/>
      <c r="AO50" s="72"/>
      <c r="AP50" s="72"/>
      <c r="AQ50" s="72"/>
      <c r="AR50" s="72"/>
      <c r="AS50" s="52">
        <v>3052</v>
      </c>
      <c r="AT50" s="47"/>
      <c r="AU50" s="72"/>
      <c r="AV50" s="72"/>
      <c r="AW50" s="72"/>
      <c r="AX50" s="72"/>
      <c r="AY50" s="72"/>
      <c r="AZ50" s="52"/>
      <c r="BA50" s="47"/>
      <c r="BB50" s="72"/>
      <c r="BC50" s="72"/>
      <c r="BD50" s="72"/>
      <c r="BE50" s="72"/>
      <c r="BF50" s="72"/>
      <c r="BG50" s="52"/>
      <c r="BH50" s="47"/>
      <c r="BI50" s="72"/>
      <c r="BJ50" s="72"/>
      <c r="BK50" s="72"/>
      <c r="BL50" s="72"/>
      <c r="BM50" s="72"/>
      <c r="BN50" s="52"/>
      <c r="BO50" s="47"/>
      <c r="BP50" s="72"/>
      <c r="BQ50" s="72"/>
      <c r="BR50" s="72"/>
      <c r="BS50" s="72"/>
      <c r="BT50" s="72"/>
      <c r="BU50" s="52"/>
      <c r="BV50" s="47"/>
      <c r="BW50" s="72"/>
      <c r="BX50" s="72"/>
      <c r="BY50" s="72"/>
      <c r="BZ50" s="72"/>
      <c r="CA50" s="72"/>
      <c r="CB50" s="52"/>
      <c r="CC50" s="47"/>
      <c r="CD50" s="72"/>
      <c r="CE50" s="72"/>
      <c r="CF50" s="72"/>
      <c r="CG50" s="72"/>
      <c r="CH50" s="72"/>
      <c r="CI50" s="52"/>
      <c r="CJ50" s="47"/>
      <c r="CK50" s="72"/>
      <c r="CL50" s="72"/>
      <c r="CM50" s="72"/>
      <c r="CN50" s="72"/>
      <c r="CO50" s="72"/>
      <c r="CP50" s="303">
        <f t="shared" si="4"/>
        <v>18453</v>
      </c>
      <c r="CQ50" s="36"/>
    </row>
    <row r="51" spans="2:95" s="13" customFormat="1" ht="20.100000000000001" customHeight="1">
      <c r="B51" s="1000"/>
      <c r="C51" s="247" t="s">
        <v>41</v>
      </c>
      <c r="D51" s="47"/>
      <c r="E51" s="72"/>
      <c r="F51" s="72"/>
      <c r="G51" s="72"/>
      <c r="H51" s="72"/>
      <c r="I51" s="72"/>
      <c r="J51" s="299">
        <v>194.1</v>
      </c>
      <c r="K51" s="47"/>
      <c r="L51" s="72"/>
      <c r="M51" s="72"/>
      <c r="N51" s="72"/>
      <c r="O51" s="72"/>
      <c r="P51" s="72"/>
      <c r="Q51" s="299">
        <v>193.6</v>
      </c>
      <c r="R51" s="47"/>
      <c r="S51" s="72"/>
      <c r="T51" s="72"/>
      <c r="U51" s="72"/>
      <c r="V51" s="72"/>
      <c r="W51" s="72"/>
      <c r="X51" s="299">
        <v>176</v>
      </c>
      <c r="Y51" s="47"/>
      <c r="Z51" s="72"/>
      <c r="AA51" s="72"/>
      <c r="AB51" s="72"/>
      <c r="AC51" s="72"/>
      <c r="AD51" s="72"/>
      <c r="AE51" s="299">
        <v>202.4</v>
      </c>
      <c r="AF51" s="47"/>
      <c r="AG51" s="72"/>
      <c r="AH51" s="72"/>
      <c r="AI51" s="72"/>
      <c r="AJ51" s="72"/>
      <c r="AK51" s="72"/>
      <c r="AL51" s="299">
        <v>175.42</v>
      </c>
      <c r="AM51" s="47"/>
      <c r="AN51" s="72"/>
      <c r="AO51" s="72"/>
      <c r="AP51" s="72"/>
      <c r="AQ51" s="72"/>
      <c r="AR51" s="72"/>
      <c r="AS51" s="299">
        <v>183.55</v>
      </c>
      <c r="AT51" s="47"/>
      <c r="AU51" s="72"/>
      <c r="AV51" s="72"/>
      <c r="AW51" s="72"/>
      <c r="AX51" s="72"/>
      <c r="AY51" s="72"/>
      <c r="AZ51" s="299"/>
      <c r="BA51" s="47"/>
      <c r="BB51" s="72"/>
      <c r="BC51" s="72"/>
      <c r="BD51" s="72"/>
      <c r="BE51" s="72"/>
      <c r="BF51" s="72"/>
      <c r="BG51" s="299"/>
      <c r="BH51" s="47"/>
      <c r="BI51" s="72"/>
      <c r="BJ51" s="72"/>
      <c r="BK51" s="72"/>
      <c r="BL51" s="72"/>
      <c r="BM51" s="72"/>
      <c r="BN51" s="299"/>
      <c r="BO51" s="47"/>
      <c r="BP51" s="72"/>
      <c r="BQ51" s="72"/>
      <c r="BR51" s="72"/>
      <c r="BS51" s="72"/>
      <c r="BT51" s="72"/>
      <c r="BU51" s="299"/>
      <c r="BV51" s="47"/>
      <c r="BW51" s="72"/>
      <c r="BX51" s="72"/>
      <c r="BY51" s="72"/>
      <c r="BZ51" s="72"/>
      <c r="CA51" s="72"/>
      <c r="CB51" s="299"/>
      <c r="CC51" s="47"/>
      <c r="CD51" s="72"/>
      <c r="CE51" s="72"/>
      <c r="CF51" s="72"/>
      <c r="CG51" s="72"/>
      <c r="CH51" s="72"/>
      <c r="CI51" s="299"/>
      <c r="CJ51" s="47"/>
      <c r="CK51" s="72"/>
      <c r="CL51" s="72"/>
      <c r="CM51" s="72"/>
      <c r="CN51" s="72"/>
      <c r="CO51" s="72"/>
      <c r="CP51" s="304">
        <f t="shared" si="4"/>
        <v>1125.07</v>
      </c>
      <c r="CQ51" s="36"/>
    </row>
    <row r="52" spans="2:95" s="13" customFormat="1" ht="20.100000000000001" customHeight="1">
      <c r="B52" s="1001"/>
      <c r="C52" s="247" t="s">
        <v>43</v>
      </c>
      <c r="D52" s="47"/>
      <c r="E52" s="72"/>
      <c r="F52" s="72"/>
      <c r="G52" s="72"/>
      <c r="H52" s="72"/>
      <c r="I52" s="72"/>
      <c r="J52" s="299">
        <v>214.1</v>
      </c>
      <c r="K52" s="47"/>
      <c r="L52" s="72"/>
      <c r="M52" s="72"/>
      <c r="N52" s="72"/>
      <c r="O52" s="72"/>
      <c r="P52" s="72"/>
      <c r="Q52" s="299">
        <v>215.35</v>
      </c>
      <c r="R52" s="47"/>
      <c r="S52" s="72"/>
      <c r="T52" s="72"/>
      <c r="U52" s="72"/>
      <c r="V52" s="72"/>
      <c r="W52" s="72"/>
      <c r="X52" s="299">
        <v>194.1</v>
      </c>
      <c r="Y52" s="47"/>
      <c r="Z52" s="72"/>
      <c r="AA52" s="72"/>
      <c r="AB52" s="72"/>
      <c r="AC52" s="72"/>
      <c r="AD52" s="72"/>
      <c r="AE52" s="299">
        <v>225.92</v>
      </c>
      <c r="AF52" s="47"/>
      <c r="AG52" s="72"/>
      <c r="AH52" s="72"/>
      <c r="AI52" s="72"/>
      <c r="AJ52" s="72"/>
      <c r="AK52" s="72"/>
      <c r="AL52" s="299">
        <v>198.35</v>
      </c>
      <c r="AM52" s="47"/>
      <c r="AN52" s="72"/>
      <c r="AO52" s="72"/>
      <c r="AP52" s="72"/>
      <c r="AQ52" s="72"/>
      <c r="AR52" s="72"/>
      <c r="AS52" s="299">
        <v>208.13</v>
      </c>
      <c r="AT52" s="47"/>
      <c r="AU52" s="72"/>
      <c r="AV52" s="72"/>
      <c r="AW52" s="72"/>
      <c r="AX52" s="72"/>
      <c r="AY52" s="72"/>
      <c r="AZ52" s="299"/>
      <c r="BA52" s="47"/>
      <c r="BB52" s="72"/>
      <c r="BC52" s="72"/>
      <c r="BD52" s="72"/>
      <c r="BE52" s="72"/>
      <c r="BF52" s="72"/>
      <c r="BG52" s="299"/>
      <c r="BH52" s="47"/>
      <c r="BI52" s="72"/>
      <c r="BJ52" s="72"/>
      <c r="BK52" s="72"/>
      <c r="BL52" s="72"/>
      <c r="BM52" s="72"/>
      <c r="BN52" s="299"/>
      <c r="BO52" s="47"/>
      <c r="BP52" s="72"/>
      <c r="BQ52" s="72"/>
      <c r="BR52" s="72"/>
      <c r="BS52" s="72"/>
      <c r="BT52" s="72"/>
      <c r="BU52" s="299"/>
      <c r="BV52" s="47"/>
      <c r="BW52" s="72"/>
      <c r="BX52" s="72"/>
      <c r="BY52" s="72"/>
      <c r="BZ52" s="72"/>
      <c r="CA52" s="72"/>
      <c r="CB52" s="299"/>
      <c r="CC52" s="47"/>
      <c r="CD52" s="72"/>
      <c r="CE52" s="72"/>
      <c r="CF52" s="72"/>
      <c r="CG52" s="72"/>
      <c r="CH52" s="72"/>
      <c r="CI52" s="299"/>
      <c r="CJ52" s="47"/>
      <c r="CK52" s="72"/>
      <c r="CL52" s="72"/>
      <c r="CM52" s="72"/>
      <c r="CN52" s="72"/>
      <c r="CO52" s="72"/>
      <c r="CP52" s="304">
        <f t="shared" si="4"/>
        <v>1255.9499999999998</v>
      </c>
      <c r="CQ52" s="36"/>
    </row>
    <row r="53" spans="2:95" s="346" customFormat="1" ht="7.2" customHeight="1">
      <c r="B53" s="341"/>
      <c r="C53" s="342"/>
      <c r="D53" s="343"/>
      <c r="E53" s="344"/>
      <c r="F53" s="344"/>
      <c r="G53" s="344"/>
      <c r="H53" s="344"/>
      <c r="I53" s="344"/>
      <c r="J53" s="344"/>
      <c r="K53" s="343"/>
      <c r="L53" s="344"/>
      <c r="M53" s="344"/>
      <c r="N53" s="344"/>
      <c r="O53" s="344"/>
      <c r="P53" s="344"/>
      <c r="Q53" s="344"/>
      <c r="R53" s="343"/>
      <c r="S53" s="344"/>
      <c r="T53" s="344"/>
      <c r="U53" s="344"/>
      <c r="V53" s="344"/>
      <c r="W53" s="344"/>
      <c r="X53" s="344"/>
      <c r="Y53" s="343"/>
      <c r="Z53" s="344"/>
      <c r="AA53" s="344"/>
      <c r="AB53" s="344"/>
      <c r="AC53" s="344"/>
      <c r="AD53" s="344"/>
      <c r="AE53" s="344"/>
      <c r="AF53" s="343"/>
      <c r="AG53" s="344"/>
      <c r="AH53" s="344"/>
      <c r="AI53" s="344"/>
      <c r="AJ53" s="344"/>
      <c r="AK53" s="344"/>
      <c r="AL53" s="344"/>
      <c r="AM53" s="343"/>
      <c r="AN53" s="344"/>
      <c r="AO53" s="344"/>
      <c r="AP53" s="344"/>
      <c r="AQ53" s="344"/>
      <c r="AR53" s="344"/>
      <c r="AS53" s="344"/>
      <c r="AT53" s="343"/>
      <c r="AU53" s="344"/>
      <c r="AV53" s="344"/>
      <c r="AW53" s="344"/>
      <c r="AX53" s="344"/>
      <c r="AY53" s="344"/>
      <c r="AZ53" s="344"/>
      <c r="BA53" s="343"/>
      <c r="BB53" s="344"/>
      <c r="BC53" s="344"/>
      <c r="BD53" s="344"/>
      <c r="BE53" s="344"/>
      <c r="BF53" s="344"/>
      <c r="BG53" s="344"/>
      <c r="BH53" s="343"/>
      <c r="BI53" s="344"/>
      <c r="BJ53" s="344"/>
      <c r="BK53" s="344"/>
      <c r="BL53" s="344"/>
      <c r="BM53" s="344"/>
      <c r="BN53" s="344"/>
      <c r="BO53" s="343"/>
      <c r="BP53" s="344"/>
      <c r="BQ53" s="344"/>
      <c r="BR53" s="344"/>
      <c r="BS53" s="344"/>
      <c r="BT53" s="344"/>
      <c r="BU53" s="344"/>
      <c r="BV53" s="343"/>
      <c r="BW53" s="344"/>
      <c r="BX53" s="344"/>
      <c r="BY53" s="344"/>
      <c r="BZ53" s="344"/>
      <c r="CA53" s="344"/>
      <c r="CB53" s="344"/>
      <c r="CC53" s="343"/>
      <c r="CD53" s="344"/>
      <c r="CE53" s="344"/>
      <c r="CF53" s="344"/>
      <c r="CG53" s="344"/>
      <c r="CH53" s="344"/>
      <c r="CI53" s="344"/>
      <c r="CJ53" s="343"/>
      <c r="CK53" s="344"/>
      <c r="CL53" s="344"/>
      <c r="CM53" s="344"/>
      <c r="CN53" s="344"/>
      <c r="CO53" s="344"/>
      <c r="CP53" s="344"/>
      <c r="CQ53" s="345"/>
    </row>
    <row r="54" spans="2:95" s="13" customFormat="1" ht="20.100000000000001" customHeight="1">
      <c r="B54" s="994" t="s">
        <v>485</v>
      </c>
      <c r="C54" s="320" t="s">
        <v>359</v>
      </c>
      <c r="D54" s="47"/>
      <c r="E54" s="52">
        <v>520</v>
      </c>
      <c r="F54" s="52">
        <v>397</v>
      </c>
      <c r="G54" s="52">
        <v>390</v>
      </c>
      <c r="H54" s="52">
        <v>417</v>
      </c>
      <c r="I54" s="52"/>
      <c r="J54" s="48">
        <f t="shared" si="6"/>
        <v>1724</v>
      </c>
      <c r="K54" s="47"/>
      <c r="L54" s="52">
        <v>352</v>
      </c>
      <c r="M54" s="52">
        <v>476</v>
      </c>
      <c r="N54" s="52">
        <v>477</v>
      </c>
      <c r="O54" s="52">
        <v>525</v>
      </c>
      <c r="P54" s="52">
        <v>442</v>
      </c>
      <c r="Q54" s="48">
        <f t="shared" ref="Q54" si="18">SUM(L54:P54)</f>
        <v>2272</v>
      </c>
      <c r="R54" s="47"/>
      <c r="S54" s="52">
        <v>493</v>
      </c>
      <c r="T54" s="52">
        <v>522</v>
      </c>
      <c r="U54" s="52">
        <v>508</v>
      </c>
      <c r="V54" s="52">
        <v>433</v>
      </c>
      <c r="W54" s="52"/>
      <c r="X54" s="48">
        <f t="shared" ref="X54" si="19">SUM(S54:W54)</f>
        <v>1956</v>
      </c>
      <c r="Y54" s="47"/>
      <c r="Z54" s="52">
        <v>328</v>
      </c>
      <c r="AA54" s="52">
        <v>362</v>
      </c>
      <c r="AB54" s="52">
        <v>399</v>
      </c>
      <c r="AC54" s="52">
        <v>417</v>
      </c>
      <c r="AD54" s="52"/>
      <c r="AE54" s="48">
        <f t="shared" ref="AE54" si="20">SUM(Z54:AD54)</f>
        <v>1506</v>
      </c>
      <c r="AF54" s="47"/>
      <c r="AG54" s="52">
        <v>684</v>
      </c>
      <c r="AH54" s="52">
        <v>572</v>
      </c>
      <c r="AI54" s="52">
        <v>478</v>
      </c>
      <c r="AJ54" s="52">
        <v>191</v>
      </c>
      <c r="AK54" s="52">
        <v>276</v>
      </c>
      <c r="AL54" s="48">
        <f t="shared" ref="AL54" si="21">SUM(AG54:AK54)</f>
        <v>2201</v>
      </c>
      <c r="AM54" s="47"/>
      <c r="AN54" s="52">
        <v>378</v>
      </c>
      <c r="AO54" s="52">
        <v>196</v>
      </c>
      <c r="AP54" s="52">
        <v>287</v>
      </c>
      <c r="AQ54" s="52">
        <v>370</v>
      </c>
      <c r="AR54" s="52"/>
      <c r="AS54" s="48">
        <f t="shared" ref="AS54" si="22">SUM(AN54:AR54)</f>
        <v>1231</v>
      </c>
      <c r="AT54" s="47"/>
      <c r="AU54" s="52"/>
      <c r="AV54" s="52"/>
      <c r="AW54" s="52"/>
      <c r="AX54" s="52"/>
      <c r="AY54" s="52"/>
      <c r="AZ54" s="48">
        <f t="shared" ref="AZ54" si="23">SUM(AU54:AY54)</f>
        <v>0</v>
      </c>
      <c r="BA54" s="47"/>
      <c r="BB54" s="52"/>
      <c r="BC54" s="52"/>
      <c r="BD54" s="52"/>
      <c r="BE54" s="52"/>
      <c r="BF54" s="52"/>
      <c r="BG54" s="48">
        <f t="shared" ref="BG54" si="24">SUM(BB54:BF54)</f>
        <v>0</v>
      </c>
      <c r="BH54" s="47"/>
      <c r="BI54" s="52"/>
      <c r="BJ54" s="52"/>
      <c r="BK54" s="52"/>
      <c r="BL54" s="52"/>
      <c r="BM54" s="52"/>
      <c r="BN54" s="48">
        <f t="shared" ref="BN54" si="25">SUM(BI54:BM54)</f>
        <v>0</v>
      </c>
      <c r="BO54" s="47"/>
      <c r="BP54" s="52"/>
      <c r="BQ54" s="52"/>
      <c r="BR54" s="52"/>
      <c r="BS54" s="52"/>
      <c r="BT54" s="52"/>
      <c r="BU54" s="48">
        <f t="shared" ref="BU54" si="26">SUM(BP54:BT54)</f>
        <v>0</v>
      </c>
      <c r="BV54" s="47"/>
      <c r="BW54" s="52"/>
      <c r="BX54" s="52"/>
      <c r="BY54" s="52"/>
      <c r="BZ54" s="52"/>
      <c r="CA54" s="52"/>
      <c r="CB54" s="48">
        <f t="shared" ref="CB54" si="27">SUM(BW54:CA54)</f>
        <v>0</v>
      </c>
      <c r="CC54" s="47"/>
      <c r="CD54" s="52"/>
      <c r="CE54" s="52"/>
      <c r="CF54" s="52"/>
      <c r="CG54" s="52"/>
      <c r="CH54" s="52"/>
      <c r="CI54" s="48">
        <f t="shared" ref="CI54" si="28">SUM(CD54:CH54)</f>
        <v>0</v>
      </c>
      <c r="CJ54" s="47"/>
      <c r="CK54" s="303">
        <f t="shared" si="5"/>
        <v>2755</v>
      </c>
      <c r="CL54" s="303">
        <f t="shared" si="0"/>
        <v>2525</v>
      </c>
      <c r="CM54" s="303">
        <f t="shared" si="1"/>
        <v>2539</v>
      </c>
      <c r="CN54" s="303">
        <f t="shared" si="2"/>
        <v>2353</v>
      </c>
      <c r="CO54" s="303">
        <f t="shared" si="3"/>
        <v>718</v>
      </c>
      <c r="CP54" s="305">
        <f t="shared" si="4"/>
        <v>10890</v>
      </c>
      <c r="CQ54" s="36"/>
    </row>
    <row r="55" spans="2:95" s="13" customFormat="1" ht="20.100000000000001" customHeight="1">
      <c r="B55" s="994"/>
      <c r="C55" s="320" t="s">
        <v>360</v>
      </c>
      <c r="D55" s="47"/>
      <c r="E55" s="52">
        <v>47</v>
      </c>
      <c r="F55" s="52">
        <v>38</v>
      </c>
      <c r="G55" s="52">
        <v>32</v>
      </c>
      <c r="H55" s="52">
        <v>33</v>
      </c>
      <c r="I55" s="52"/>
      <c r="J55" s="48">
        <f t="shared" si="6"/>
        <v>150</v>
      </c>
      <c r="K55" s="47"/>
      <c r="L55" s="52">
        <v>28</v>
      </c>
      <c r="M55" s="52">
        <v>33</v>
      </c>
      <c r="N55" s="52">
        <v>34</v>
      </c>
      <c r="O55" s="52">
        <v>32</v>
      </c>
      <c r="P55" s="52">
        <v>29</v>
      </c>
      <c r="Q55" s="48">
        <f t="shared" ref="Q55:Q58" si="29">SUM(L55:P55)</f>
        <v>156</v>
      </c>
      <c r="R55" s="47"/>
      <c r="S55" s="52">
        <v>31</v>
      </c>
      <c r="T55" s="52">
        <v>36</v>
      </c>
      <c r="U55" s="52">
        <v>43</v>
      </c>
      <c r="V55" s="52">
        <v>36</v>
      </c>
      <c r="W55" s="52"/>
      <c r="X55" s="48">
        <f t="shared" ref="X55:X58" si="30">SUM(S55:W55)</f>
        <v>146</v>
      </c>
      <c r="Y55" s="47"/>
      <c r="Z55" s="52">
        <v>25</v>
      </c>
      <c r="AA55" s="52">
        <v>28</v>
      </c>
      <c r="AB55" s="52">
        <v>32</v>
      </c>
      <c r="AC55" s="52">
        <v>32</v>
      </c>
      <c r="AD55" s="52"/>
      <c r="AE55" s="48">
        <f t="shared" ref="AE55:AE58" si="31">SUM(Z55:AD55)</f>
        <v>117</v>
      </c>
      <c r="AF55" s="47"/>
      <c r="AG55" s="52">
        <v>45</v>
      </c>
      <c r="AH55" s="52">
        <v>39</v>
      </c>
      <c r="AI55" s="52">
        <v>34</v>
      </c>
      <c r="AJ55" s="52">
        <v>13</v>
      </c>
      <c r="AK55" s="52">
        <v>24</v>
      </c>
      <c r="AL55" s="48">
        <f t="shared" ref="AL55:AL58" si="32">SUM(AG55:AK55)</f>
        <v>155</v>
      </c>
      <c r="AM55" s="47"/>
      <c r="AN55" s="52">
        <v>33</v>
      </c>
      <c r="AO55" s="52">
        <v>15</v>
      </c>
      <c r="AP55" s="52">
        <v>23</v>
      </c>
      <c r="AQ55" s="52">
        <v>28</v>
      </c>
      <c r="AR55" s="52"/>
      <c r="AS55" s="48">
        <f t="shared" ref="AS55:AS58" si="33">SUM(AN55:AR55)</f>
        <v>99</v>
      </c>
      <c r="AT55" s="47"/>
      <c r="AU55" s="52"/>
      <c r="AV55" s="52"/>
      <c r="AW55" s="52"/>
      <c r="AX55" s="52"/>
      <c r="AY55" s="52"/>
      <c r="AZ55" s="48">
        <f t="shared" ref="AZ55:AZ58" si="34">SUM(AU55:AY55)</f>
        <v>0</v>
      </c>
      <c r="BA55" s="47"/>
      <c r="BB55" s="52"/>
      <c r="BC55" s="52"/>
      <c r="BD55" s="52"/>
      <c r="BE55" s="52"/>
      <c r="BF55" s="52"/>
      <c r="BG55" s="48">
        <f t="shared" ref="BG55:BG58" si="35">SUM(BB55:BF55)</f>
        <v>0</v>
      </c>
      <c r="BH55" s="47"/>
      <c r="BI55" s="52"/>
      <c r="BJ55" s="52"/>
      <c r="BK55" s="52"/>
      <c r="BL55" s="52"/>
      <c r="BM55" s="52"/>
      <c r="BN55" s="48">
        <f t="shared" ref="BN55:BN58" si="36">SUM(BI55:BM55)</f>
        <v>0</v>
      </c>
      <c r="BO55" s="47"/>
      <c r="BP55" s="52"/>
      <c r="BQ55" s="52"/>
      <c r="BR55" s="52"/>
      <c r="BS55" s="52"/>
      <c r="BT55" s="52"/>
      <c r="BU55" s="48">
        <f t="shared" ref="BU55:BU58" si="37">SUM(BP55:BT55)</f>
        <v>0</v>
      </c>
      <c r="BV55" s="47"/>
      <c r="BW55" s="52"/>
      <c r="BX55" s="52"/>
      <c r="BY55" s="52"/>
      <c r="BZ55" s="52"/>
      <c r="CA55" s="52"/>
      <c r="CB55" s="48">
        <f t="shared" ref="CB55:CB58" si="38">SUM(BW55:CA55)</f>
        <v>0</v>
      </c>
      <c r="CC55" s="47"/>
      <c r="CD55" s="52"/>
      <c r="CE55" s="52"/>
      <c r="CF55" s="52"/>
      <c r="CG55" s="52"/>
      <c r="CH55" s="52"/>
      <c r="CI55" s="48">
        <f t="shared" ref="CI55:CI58" si="39">SUM(CD55:CH55)</f>
        <v>0</v>
      </c>
      <c r="CJ55" s="47"/>
      <c r="CK55" s="303">
        <f t="shared" si="5"/>
        <v>209</v>
      </c>
      <c r="CL55" s="303">
        <f t="shared" si="0"/>
        <v>189</v>
      </c>
      <c r="CM55" s="303">
        <f t="shared" si="1"/>
        <v>198</v>
      </c>
      <c r="CN55" s="303">
        <f t="shared" si="2"/>
        <v>174</v>
      </c>
      <c r="CO55" s="303">
        <f t="shared" si="3"/>
        <v>53</v>
      </c>
      <c r="CP55" s="305">
        <f t="shared" si="4"/>
        <v>823</v>
      </c>
      <c r="CQ55" s="36"/>
    </row>
    <row r="56" spans="2:95" s="13" customFormat="1" ht="20.100000000000001" customHeight="1">
      <c r="B56" s="994"/>
      <c r="C56" s="320" t="s">
        <v>366</v>
      </c>
      <c r="D56" s="47"/>
      <c r="E56" s="52">
        <v>1526</v>
      </c>
      <c r="F56" s="52">
        <v>1667</v>
      </c>
      <c r="G56" s="52">
        <v>1652</v>
      </c>
      <c r="H56" s="52">
        <v>1654</v>
      </c>
      <c r="I56" s="52"/>
      <c r="J56" s="48">
        <f t="shared" ref="J56:J61" si="40">SUM(E56:I56)</f>
        <v>6499</v>
      </c>
      <c r="K56" s="47"/>
      <c r="L56" s="52">
        <v>1769</v>
      </c>
      <c r="M56" s="52">
        <v>1604</v>
      </c>
      <c r="N56" s="52">
        <v>1907</v>
      </c>
      <c r="O56" s="52">
        <v>1725</v>
      </c>
      <c r="P56" s="52">
        <v>1798</v>
      </c>
      <c r="Q56" s="48">
        <f t="shared" si="29"/>
        <v>8803</v>
      </c>
      <c r="R56" s="47"/>
      <c r="S56" s="52">
        <v>1793</v>
      </c>
      <c r="T56" s="52">
        <v>1562</v>
      </c>
      <c r="U56" s="52">
        <v>1646</v>
      </c>
      <c r="V56" s="52">
        <v>1529</v>
      </c>
      <c r="W56" s="52"/>
      <c r="X56" s="48">
        <f t="shared" si="30"/>
        <v>6530</v>
      </c>
      <c r="Y56" s="47"/>
      <c r="Z56" s="52">
        <v>1585</v>
      </c>
      <c r="AA56" s="52">
        <v>1326</v>
      </c>
      <c r="AB56" s="52">
        <v>1495</v>
      </c>
      <c r="AC56" s="52">
        <v>1643</v>
      </c>
      <c r="AD56" s="52"/>
      <c r="AE56" s="48">
        <f t="shared" si="31"/>
        <v>6049</v>
      </c>
      <c r="AF56" s="47"/>
      <c r="AG56" s="52">
        <v>1669</v>
      </c>
      <c r="AH56" s="52">
        <v>1378</v>
      </c>
      <c r="AI56" s="52">
        <v>1733</v>
      </c>
      <c r="AJ56" s="52">
        <v>1166</v>
      </c>
      <c r="AK56" s="52">
        <v>1173</v>
      </c>
      <c r="AL56" s="48">
        <f t="shared" si="32"/>
        <v>7119</v>
      </c>
      <c r="AM56" s="47"/>
      <c r="AN56" s="52">
        <v>1264</v>
      </c>
      <c r="AO56" s="52">
        <v>1365</v>
      </c>
      <c r="AP56" s="52">
        <v>1356</v>
      </c>
      <c r="AQ56" s="52">
        <v>1286</v>
      </c>
      <c r="AR56" s="52"/>
      <c r="AS56" s="48">
        <f t="shared" si="33"/>
        <v>5271</v>
      </c>
      <c r="AT56" s="47"/>
      <c r="AU56" s="52"/>
      <c r="AV56" s="52"/>
      <c r="AW56" s="52"/>
      <c r="AX56" s="52"/>
      <c r="AY56" s="52"/>
      <c r="AZ56" s="48">
        <f t="shared" si="34"/>
        <v>0</v>
      </c>
      <c r="BA56" s="47"/>
      <c r="BB56" s="52"/>
      <c r="BC56" s="52"/>
      <c r="BD56" s="52"/>
      <c r="BE56" s="52"/>
      <c r="BF56" s="52"/>
      <c r="BG56" s="48">
        <f t="shared" si="35"/>
        <v>0</v>
      </c>
      <c r="BH56" s="47"/>
      <c r="BI56" s="52"/>
      <c r="BJ56" s="52"/>
      <c r="BK56" s="52"/>
      <c r="BL56" s="52"/>
      <c r="BM56" s="52"/>
      <c r="BN56" s="48">
        <f t="shared" si="36"/>
        <v>0</v>
      </c>
      <c r="BO56" s="47"/>
      <c r="BP56" s="52"/>
      <c r="BQ56" s="52"/>
      <c r="BR56" s="52"/>
      <c r="BS56" s="52"/>
      <c r="BT56" s="52"/>
      <c r="BU56" s="48">
        <f t="shared" si="37"/>
        <v>0</v>
      </c>
      <c r="BV56" s="47"/>
      <c r="BW56" s="52"/>
      <c r="BX56" s="52"/>
      <c r="BY56" s="52"/>
      <c r="BZ56" s="52"/>
      <c r="CA56" s="52"/>
      <c r="CB56" s="48">
        <f t="shared" si="38"/>
        <v>0</v>
      </c>
      <c r="CC56" s="47"/>
      <c r="CD56" s="52"/>
      <c r="CE56" s="52"/>
      <c r="CF56" s="52"/>
      <c r="CG56" s="52"/>
      <c r="CH56" s="52"/>
      <c r="CI56" s="48">
        <f t="shared" si="39"/>
        <v>0</v>
      </c>
      <c r="CJ56" s="47"/>
      <c r="CK56" s="303">
        <f t="shared" si="5"/>
        <v>9606</v>
      </c>
      <c r="CL56" s="303">
        <f t="shared" si="0"/>
        <v>8902</v>
      </c>
      <c r="CM56" s="303">
        <f t="shared" si="1"/>
        <v>9789</v>
      </c>
      <c r="CN56" s="303">
        <f t="shared" si="2"/>
        <v>9003</v>
      </c>
      <c r="CO56" s="303">
        <f t="shared" si="3"/>
        <v>2971</v>
      </c>
      <c r="CP56" s="305">
        <f t="shared" si="4"/>
        <v>40271</v>
      </c>
      <c r="CQ56" s="36"/>
    </row>
    <row r="57" spans="2:95" s="13" customFormat="1" ht="20.100000000000001" customHeight="1">
      <c r="B57" s="994"/>
      <c r="C57" s="320" t="s">
        <v>361</v>
      </c>
      <c r="D57" s="47"/>
      <c r="E57" s="52">
        <v>1083</v>
      </c>
      <c r="F57" s="52">
        <v>1351</v>
      </c>
      <c r="G57" s="52">
        <v>1196</v>
      </c>
      <c r="H57" s="52">
        <v>1268</v>
      </c>
      <c r="I57" s="52"/>
      <c r="J57" s="48">
        <f t="shared" si="40"/>
        <v>4898</v>
      </c>
      <c r="K57" s="47"/>
      <c r="L57" s="52">
        <v>1333</v>
      </c>
      <c r="M57" s="52">
        <v>1084</v>
      </c>
      <c r="N57" s="52">
        <v>1408</v>
      </c>
      <c r="O57" s="52">
        <v>1299</v>
      </c>
      <c r="P57" s="52">
        <v>1333</v>
      </c>
      <c r="Q57" s="48">
        <f t="shared" si="29"/>
        <v>6457</v>
      </c>
      <c r="R57" s="47"/>
      <c r="S57" s="52">
        <v>1396</v>
      </c>
      <c r="T57" s="52">
        <v>1178</v>
      </c>
      <c r="U57" s="52">
        <v>1294</v>
      </c>
      <c r="V57" s="52">
        <v>1164</v>
      </c>
      <c r="W57" s="52"/>
      <c r="X57" s="48">
        <f t="shared" si="30"/>
        <v>5032</v>
      </c>
      <c r="Y57" s="47"/>
      <c r="Z57" s="52">
        <v>1195</v>
      </c>
      <c r="AA57" s="52">
        <v>952</v>
      </c>
      <c r="AB57" s="52">
        <v>1191</v>
      </c>
      <c r="AC57" s="52">
        <v>1209</v>
      </c>
      <c r="AD57" s="52"/>
      <c r="AE57" s="48">
        <f t="shared" si="31"/>
        <v>4547</v>
      </c>
      <c r="AF57" s="47"/>
      <c r="AG57" s="52">
        <v>1269</v>
      </c>
      <c r="AH57" s="52">
        <v>1090</v>
      </c>
      <c r="AI57" s="52">
        <v>1350</v>
      </c>
      <c r="AJ57" s="52">
        <v>931</v>
      </c>
      <c r="AK57" s="52">
        <v>855</v>
      </c>
      <c r="AL57" s="48">
        <f t="shared" si="32"/>
        <v>5495</v>
      </c>
      <c r="AM57" s="47"/>
      <c r="AN57" s="52">
        <v>969</v>
      </c>
      <c r="AO57" s="52">
        <v>953</v>
      </c>
      <c r="AP57" s="52">
        <v>1051</v>
      </c>
      <c r="AQ57" s="52">
        <v>893</v>
      </c>
      <c r="AR57" s="52"/>
      <c r="AS57" s="48">
        <f t="shared" si="33"/>
        <v>3866</v>
      </c>
      <c r="AT57" s="47"/>
      <c r="AU57" s="52"/>
      <c r="AV57" s="52"/>
      <c r="AW57" s="52"/>
      <c r="AX57" s="52"/>
      <c r="AY57" s="52"/>
      <c r="AZ57" s="48">
        <f t="shared" si="34"/>
        <v>0</v>
      </c>
      <c r="BA57" s="47"/>
      <c r="BB57" s="52"/>
      <c r="BC57" s="52"/>
      <c r="BD57" s="52"/>
      <c r="BE57" s="52"/>
      <c r="BF57" s="52"/>
      <c r="BG57" s="48">
        <f t="shared" si="35"/>
        <v>0</v>
      </c>
      <c r="BH57" s="47"/>
      <c r="BI57" s="52"/>
      <c r="BJ57" s="52"/>
      <c r="BK57" s="52"/>
      <c r="BL57" s="52"/>
      <c r="BM57" s="52"/>
      <c r="BN57" s="48">
        <f t="shared" si="36"/>
        <v>0</v>
      </c>
      <c r="BO57" s="47"/>
      <c r="BP57" s="52"/>
      <c r="BQ57" s="52"/>
      <c r="BR57" s="52"/>
      <c r="BS57" s="52"/>
      <c r="BT57" s="52"/>
      <c r="BU57" s="48">
        <f t="shared" si="37"/>
        <v>0</v>
      </c>
      <c r="BV57" s="47"/>
      <c r="BW57" s="52"/>
      <c r="BX57" s="52"/>
      <c r="BY57" s="52"/>
      <c r="BZ57" s="52"/>
      <c r="CA57" s="52"/>
      <c r="CB57" s="48">
        <f t="shared" si="38"/>
        <v>0</v>
      </c>
      <c r="CC57" s="47"/>
      <c r="CD57" s="52"/>
      <c r="CE57" s="52"/>
      <c r="CF57" s="52"/>
      <c r="CG57" s="52"/>
      <c r="CH57" s="52"/>
      <c r="CI57" s="48">
        <f t="shared" si="39"/>
        <v>0</v>
      </c>
      <c r="CJ57" s="47"/>
      <c r="CK57" s="303">
        <f t="shared" si="5"/>
        <v>7245</v>
      </c>
      <c r="CL57" s="303">
        <f t="shared" si="0"/>
        <v>6608</v>
      </c>
      <c r="CM57" s="303">
        <f t="shared" si="1"/>
        <v>7490</v>
      </c>
      <c r="CN57" s="303">
        <f t="shared" si="2"/>
        <v>6764</v>
      </c>
      <c r="CO57" s="303">
        <f t="shared" si="3"/>
        <v>2188</v>
      </c>
      <c r="CP57" s="305">
        <f t="shared" si="4"/>
        <v>30295</v>
      </c>
      <c r="CQ57" s="36"/>
    </row>
    <row r="58" spans="2:95" s="13" customFormat="1" ht="20.100000000000001" customHeight="1">
      <c r="B58" s="994"/>
      <c r="C58" s="320" t="s">
        <v>362</v>
      </c>
      <c r="D58" s="47"/>
      <c r="E58" s="52">
        <v>1498</v>
      </c>
      <c r="F58" s="52">
        <v>1572</v>
      </c>
      <c r="G58" s="52">
        <v>1387</v>
      </c>
      <c r="H58" s="52">
        <v>1688</v>
      </c>
      <c r="I58" s="52"/>
      <c r="J58" s="48">
        <f t="shared" si="40"/>
        <v>6145</v>
      </c>
      <c r="K58" s="47"/>
      <c r="L58" s="52">
        <v>1627</v>
      </c>
      <c r="M58" s="52">
        <v>1410</v>
      </c>
      <c r="N58" s="52">
        <v>1572</v>
      </c>
      <c r="O58" s="52">
        <v>1689</v>
      </c>
      <c r="P58" s="52">
        <v>1690</v>
      </c>
      <c r="Q58" s="48">
        <f t="shared" si="29"/>
        <v>7988</v>
      </c>
      <c r="R58" s="47"/>
      <c r="S58" s="52">
        <v>1767</v>
      </c>
      <c r="T58" s="52">
        <v>1425</v>
      </c>
      <c r="U58" s="52">
        <v>1765</v>
      </c>
      <c r="V58" s="52">
        <v>1564</v>
      </c>
      <c r="W58" s="52"/>
      <c r="X58" s="48">
        <f t="shared" si="30"/>
        <v>6521</v>
      </c>
      <c r="Y58" s="47"/>
      <c r="Z58" s="52">
        <v>1492</v>
      </c>
      <c r="AA58" s="52">
        <v>1118</v>
      </c>
      <c r="AB58" s="52">
        <v>1334</v>
      </c>
      <c r="AC58" s="52">
        <v>1417</v>
      </c>
      <c r="AD58" s="52"/>
      <c r="AE58" s="48">
        <f t="shared" si="31"/>
        <v>5361</v>
      </c>
      <c r="AF58" s="47"/>
      <c r="AG58" s="52">
        <v>1615</v>
      </c>
      <c r="AH58" s="52">
        <v>1289</v>
      </c>
      <c r="AI58" s="52">
        <v>1384</v>
      </c>
      <c r="AJ58" s="52">
        <v>965</v>
      </c>
      <c r="AK58" s="52">
        <v>1070</v>
      </c>
      <c r="AL58" s="48">
        <f t="shared" si="32"/>
        <v>6323</v>
      </c>
      <c r="AM58" s="47"/>
      <c r="AN58" s="52">
        <v>1201</v>
      </c>
      <c r="AO58" s="52">
        <v>1071</v>
      </c>
      <c r="AP58" s="52">
        <v>1241</v>
      </c>
      <c r="AQ58" s="52">
        <v>1132</v>
      </c>
      <c r="AR58" s="52"/>
      <c r="AS58" s="48">
        <f t="shared" si="33"/>
        <v>4645</v>
      </c>
      <c r="AT58" s="47"/>
      <c r="AU58" s="52"/>
      <c r="AV58" s="52"/>
      <c r="AW58" s="52"/>
      <c r="AX58" s="52"/>
      <c r="AY58" s="52"/>
      <c r="AZ58" s="48">
        <f t="shared" si="34"/>
        <v>0</v>
      </c>
      <c r="BA58" s="47"/>
      <c r="BB58" s="52"/>
      <c r="BC58" s="52"/>
      <c r="BD58" s="52"/>
      <c r="BE58" s="52"/>
      <c r="BF58" s="52"/>
      <c r="BG58" s="48">
        <f t="shared" si="35"/>
        <v>0</v>
      </c>
      <c r="BH58" s="47"/>
      <c r="BI58" s="52"/>
      <c r="BJ58" s="52"/>
      <c r="BK58" s="52"/>
      <c r="BL58" s="52"/>
      <c r="BM58" s="52"/>
      <c r="BN58" s="48">
        <f t="shared" si="36"/>
        <v>0</v>
      </c>
      <c r="BO58" s="47"/>
      <c r="BP58" s="52"/>
      <c r="BQ58" s="52"/>
      <c r="BR58" s="52"/>
      <c r="BS58" s="52"/>
      <c r="BT58" s="52"/>
      <c r="BU58" s="48">
        <f t="shared" si="37"/>
        <v>0</v>
      </c>
      <c r="BV58" s="47"/>
      <c r="BW58" s="52"/>
      <c r="BX58" s="52"/>
      <c r="BY58" s="52"/>
      <c r="BZ58" s="52"/>
      <c r="CA58" s="52"/>
      <c r="CB58" s="48">
        <f t="shared" si="38"/>
        <v>0</v>
      </c>
      <c r="CC58" s="47"/>
      <c r="CD58" s="52"/>
      <c r="CE58" s="52"/>
      <c r="CF58" s="52"/>
      <c r="CG58" s="52"/>
      <c r="CH58" s="52"/>
      <c r="CI58" s="48">
        <f t="shared" si="39"/>
        <v>0</v>
      </c>
      <c r="CJ58" s="47"/>
      <c r="CK58" s="303">
        <f t="shared" si="5"/>
        <v>9200</v>
      </c>
      <c r="CL58" s="303">
        <f t="shared" si="0"/>
        <v>7885</v>
      </c>
      <c r="CM58" s="303">
        <f t="shared" si="1"/>
        <v>8683</v>
      </c>
      <c r="CN58" s="303">
        <f t="shared" si="2"/>
        <v>8455</v>
      </c>
      <c r="CO58" s="303">
        <f t="shared" si="3"/>
        <v>2760</v>
      </c>
      <c r="CP58" s="305">
        <f t="shared" si="4"/>
        <v>36983</v>
      </c>
      <c r="CQ58" s="36"/>
    </row>
    <row r="59" spans="2:95" s="13" customFormat="1" ht="20.100000000000001" customHeight="1">
      <c r="B59" s="994"/>
      <c r="C59" s="320" t="s">
        <v>363</v>
      </c>
      <c r="D59" s="47"/>
      <c r="E59" s="299">
        <v>101.25</v>
      </c>
      <c r="F59" s="299">
        <v>99</v>
      </c>
      <c r="G59" s="299">
        <v>108.33</v>
      </c>
      <c r="H59" s="299">
        <v>119.27</v>
      </c>
      <c r="I59" s="299"/>
      <c r="J59" s="48">
        <f t="shared" ref="J59:J60" si="41">ROUND((SUM(E59:I59)),0)</f>
        <v>428</v>
      </c>
      <c r="K59" s="47"/>
      <c r="L59" s="299">
        <v>99.23</v>
      </c>
      <c r="M59" s="299">
        <v>104.12</v>
      </c>
      <c r="N59" s="299">
        <v>101.65</v>
      </c>
      <c r="O59" s="299">
        <v>100.9</v>
      </c>
      <c r="P59" s="299">
        <v>95.05</v>
      </c>
      <c r="Q59" s="48">
        <f t="shared" ref="Q59:Q60" si="42">ROUND((SUM(L59:P59)),0)</f>
        <v>501</v>
      </c>
      <c r="R59" s="47"/>
      <c r="S59" s="299">
        <v>104</v>
      </c>
      <c r="T59" s="299">
        <v>95.47</v>
      </c>
      <c r="U59" s="299">
        <v>101.22</v>
      </c>
      <c r="V59" s="299">
        <v>93.88</v>
      </c>
      <c r="W59" s="299"/>
      <c r="X59" s="48">
        <f t="shared" ref="X59:X60" si="43">ROUND((SUM(S59:W59)),0)</f>
        <v>395</v>
      </c>
      <c r="Y59" s="47"/>
      <c r="Z59" s="299">
        <v>85.88</v>
      </c>
      <c r="AA59" s="299">
        <v>90.42</v>
      </c>
      <c r="AB59" s="299">
        <v>90.12</v>
      </c>
      <c r="AC59" s="299">
        <v>91.63</v>
      </c>
      <c r="AD59" s="299"/>
      <c r="AE59" s="48">
        <f t="shared" ref="AE59:AE60" si="44">ROUND((SUM(Z59:AD59)),0)</f>
        <v>358</v>
      </c>
      <c r="AF59" s="47"/>
      <c r="AG59" s="299">
        <v>93.62</v>
      </c>
      <c r="AH59" s="299">
        <v>89.78</v>
      </c>
      <c r="AI59" s="299">
        <v>95.73</v>
      </c>
      <c r="AJ59" s="299">
        <v>63.37</v>
      </c>
      <c r="AK59" s="299">
        <v>76.349999999999994</v>
      </c>
      <c r="AL59" s="48">
        <f t="shared" ref="AL59:AL60" si="45">ROUND((SUM(AG59:AK59)),0)</f>
        <v>419</v>
      </c>
      <c r="AM59" s="47"/>
      <c r="AN59" s="299">
        <v>81.92</v>
      </c>
      <c r="AO59" s="299">
        <v>85.52</v>
      </c>
      <c r="AP59" s="299">
        <v>86.2</v>
      </c>
      <c r="AQ59" s="299">
        <v>85.25</v>
      </c>
      <c r="AR59" s="299"/>
      <c r="AS59" s="48">
        <f t="shared" ref="AS59:AS60" si="46">ROUND((SUM(AN59:AR59)),0)</f>
        <v>339</v>
      </c>
      <c r="AT59" s="47"/>
      <c r="AU59" s="299"/>
      <c r="AV59" s="299"/>
      <c r="AW59" s="299"/>
      <c r="AX59" s="299"/>
      <c r="AY59" s="299"/>
      <c r="AZ59" s="48">
        <f t="shared" ref="AZ59:AZ60" si="47">ROUND((SUM(AU59:AY59)),0)</f>
        <v>0</v>
      </c>
      <c r="BA59" s="47"/>
      <c r="BB59" s="299"/>
      <c r="BC59" s="299"/>
      <c r="BD59" s="299"/>
      <c r="BE59" s="299"/>
      <c r="BF59" s="299"/>
      <c r="BG59" s="48">
        <f t="shared" ref="BG59:BG60" si="48">ROUND((SUM(BB59:BF59)),0)</f>
        <v>0</v>
      </c>
      <c r="BH59" s="47"/>
      <c r="BI59" s="299"/>
      <c r="BJ59" s="299"/>
      <c r="BK59" s="299"/>
      <c r="BL59" s="299"/>
      <c r="BM59" s="299"/>
      <c r="BN59" s="48">
        <f t="shared" ref="BN59:BN60" si="49">ROUND((SUM(BI59:BM59)),0)</f>
        <v>0</v>
      </c>
      <c r="BO59" s="47"/>
      <c r="BP59" s="299"/>
      <c r="BQ59" s="299"/>
      <c r="BR59" s="299"/>
      <c r="BS59" s="299"/>
      <c r="BT59" s="299"/>
      <c r="BU59" s="48">
        <f t="shared" ref="BU59:BU60" si="50">ROUND((SUM(BP59:BT59)),0)</f>
        <v>0</v>
      </c>
      <c r="BV59" s="47"/>
      <c r="BW59" s="299"/>
      <c r="BX59" s="299"/>
      <c r="BY59" s="299"/>
      <c r="BZ59" s="299"/>
      <c r="CA59" s="299"/>
      <c r="CB59" s="48">
        <f t="shared" ref="CB59:CB60" si="51">ROUND((SUM(BW59:CA59)),0)</f>
        <v>0</v>
      </c>
      <c r="CC59" s="47"/>
      <c r="CD59" s="299"/>
      <c r="CE59" s="299"/>
      <c r="CF59" s="299"/>
      <c r="CG59" s="299"/>
      <c r="CH59" s="299"/>
      <c r="CI59" s="48">
        <f t="shared" ref="CI59:CI60" si="52">ROUND((SUM(CD59:CH59)),0)</f>
        <v>0</v>
      </c>
      <c r="CJ59" s="47"/>
      <c r="CK59" s="304">
        <f t="shared" si="5"/>
        <v>565.9</v>
      </c>
      <c r="CL59" s="304">
        <f t="shared" si="0"/>
        <v>564.31000000000006</v>
      </c>
      <c r="CM59" s="304">
        <f t="shared" si="1"/>
        <v>583.25000000000011</v>
      </c>
      <c r="CN59" s="304">
        <f t="shared" si="2"/>
        <v>554.29999999999995</v>
      </c>
      <c r="CO59" s="304">
        <f t="shared" si="3"/>
        <v>171.39999999999998</v>
      </c>
      <c r="CP59" s="305">
        <f t="shared" si="4"/>
        <v>2440</v>
      </c>
      <c r="CQ59" s="36"/>
    </row>
    <row r="60" spans="2:95" s="13" customFormat="1" ht="20.100000000000001" customHeight="1">
      <c r="B60" s="994"/>
      <c r="C60" s="320" t="s">
        <v>364</v>
      </c>
      <c r="D60" s="47"/>
      <c r="E60" s="299">
        <v>63.98</v>
      </c>
      <c r="F60" s="299">
        <v>74.05</v>
      </c>
      <c r="G60" s="299">
        <v>68.92</v>
      </c>
      <c r="H60" s="299">
        <v>72.37</v>
      </c>
      <c r="I60" s="299"/>
      <c r="J60" s="48">
        <f t="shared" si="41"/>
        <v>279</v>
      </c>
      <c r="K60" s="47"/>
      <c r="L60" s="299">
        <v>76.98</v>
      </c>
      <c r="M60" s="299">
        <v>58.37</v>
      </c>
      <c r="N60" s="299">
        <v>70.47</v>
      </c>
      <c r="O60" s="299">
        <v>68.7</v>
      </c>
      <c r="P60" s="299">
        <v>65.55</v>
      </c>
      <c r="Q60" s="48">
        <f t="shared" si="42"/>
        <v>340</v>
      </c>
      <c r="R60" s="47"/>
      <c r="S60" s="299">
        <v>77.97</v>
      </c>
      <c r="T60" s="299">
        <v>69.099999999999994</v>
      </c>
      <c r="U60" s="299">
        <v>75.73</v>
      </c>
      <c r="V60" s="299">
        <v>68.72</v>
      </c>
      <c r="W60" s="299"/>
      <c r="X60" s="48">
        <f t="shared" si="43"/>
        <v>292</v>
      </c>
      <c r="Y60" s="47"/>
      <c r="Z60" s="299">
        <v>63.68</v>
      </c>
      <c r="AA60" s="299">
        <v>59.88</v>
      </c>
      <c r="AB60" s="299">
        <v>69.67</v>
      </c>
      <c r="AC60" s="299">
        <v>63.58</v>
      </c>
      <c r="AD60" s="299"/>
      <c r="AE60" s="48">
        <f t="shared" si="44"/>
        <v>257</v>
      </c>
      <c r="AF60" s="47"/>
      <c r="AG60" s="299">
        <v>68.08</v>
      </c>
      <c r="AH60" s="299">
        <v>68.23</v>
      </c>
      <c r="AI60" s="299">
        <v>73.5</v>
      </c>
      <c r="AJ60" s="299">
        <v>48.12</v>
      </c>
      <c r="AK60" s="299">
        <v>51.22</v>
      </c>
      <c r="AL60" s="48">
        <f t="shared" si="45"/>
        <v>309</v>
      </c>
      <c r="AM60" s="47"/>
      <c r="AN60" s="299">
        <v>61.5</v>
      </c>
      <c r="AO60" s="299">
        <v>57.55</v>
      </c>
      <c r="AP60" s="299">
        <v>65.22</v>
      </c>
      <c r="AQ60" s="299">
        <v>52.83</v>
      </c>
      <c r="AR60" s="299"/>
      <c r="AS60" s="48">
        <f t="shared" si="46"/>
        <v>237</v>
      </c>
      <c r="AT60" s="47"/>
      <c r="AU60" s="299"/>
      <c r="AV60" s="299"/>
      <c r="AW60" s="299"/>
      <c r="AX60" s="299"/>
      <c r="AY60" s="299"/>
      <c r="AZ60" s="48">
        <f t="shared" si="47"/>
        <v>0</v>
      </c>
      <c r="BA60" s="47"/>
      <c r="BB60" s="299"/>
      <c r="BC60" s="299"/>
      <c r="BD60" s="299"/>
      <c r="BE60" s="299"/>
      <c r="BF60" s="299"/>
      <c r="BG60" s="48">
        <f t="shared" si="48"/>
        <v>0</v>
      </c>
      <c r="BH60" s="47"/>
      <c r="BI60" s="299"/>
      <c r="BJ60" s="299"/>
      <c r="BK60" s="299"/>
      <c r="BL60" s="299"/>
      <c r="BM60" s="299"/>
      <c r="BN60" s="48">
        <f t="shared" si="49"/>
        <v>0</v>
      </c>
      <c r="BO60" s="47"/>
      <c r="BP60" s="299"/>
      <c r="BQ60" s="299"/>
      <c r="BR60" s="299"/>
      <c r="BS60" s="299"/>
      <c r="BT60" s="299"/>
      <c r="BU60" s="48">
        <f t="shared" si="50"/>
        <v>0</v>
      </c>
      <c r="BV60" s="47"/>
      <c r="BW60" s="299"/>
      <c r="BX60" s="299"/>
      <c r="BY60" s="299"/>
      <c r="BZ60" s="299"/>
      <c r="CA60" s="299"/>
      <c r="CB60" s="48">
        <f t="shared" si="51"/>
        <v>0</v>
      </c>
      <c r="CC60" s="47"/>
      <c r="CD60" s="299"/>
      <c r="CE60" s="299"/>
      <c r="CF60" s="299"/>
      <c r="CG60" s="299"/>
      <c r="CH60" s="299"/>
      <c r="CI60" s="48">
        <f t="shared" si="52"/>
        <v>0</v>
      </c>
      <c r="CJ60" s="47"/>
      <c r="CK60" s="304">
        <f t="shared" si="5"/>
        <v>412.19</v>
      </c>
      <c r="CL60" s="304">
        <f t="shared" si="0"/>
        <v>387.18</v>
      </c>
      <c r="CM60" s="304">
        <f t="shared" si="1"/>
        <v>423.51</v>
      </c>
      <c r="CN60" s="304">
        <f t="shared" si="2"/>
        <v>374.32</v>
      </c>
      <c r="CO60" s="304">
        <f t="shared" si="3"/>
        <v>116.77</v>
      </c>
      <c r="CP60" s="305">
        <f t="shared" si="4"/>
        <v>1714</v>
      </c>
      <c r="CQ60" s="36"/>
    </row>
    <row r="61" spans="2:95" s="13" customFormat="1" ht="20.100000000000001" customHeight="1">
      <c r="B61" s="995"/>
      <c r="C61" s="320" t="s">
        <v>365</v>
      </c>
      <c r="D61" s="47"/>
      <c r="E61" s="52">
        <v>182</v>
      </c>
      <c r="F61" s="52">
        <v>181</v>
      </c>
      <c r="G61" s="52">
        <v>150</v>
      </c>
      <c r="H61" s="52">
        <v>174</v>
      </c>
      <c r="I61" s="52"/>
      <c r="J61" s="48">
        <f t="shared" si="40"/>
        <v>687</v>
      </c>
      <c r="K61" s="47"/>
      <c r="L61" s="52">
        <v>175</v>
      </c>
      <c r="M61" s="52">
        <v>169</v>
      </c>
      <c r="N61" s="52">
        <v>158</v>
      </c>
      <c r="O61" s="52">
        <v>176</v>
      </c>
      <c r="P61" s="52">
        <v>167</v>
      </c>
      <c r="Q61" s="48">
        <f t="shared" ref="Q61" si="53">SUM(L61:P61)</f>
        <v>845</v>
      </c>
      <c r="R61" s="47"/>
      <c r="S61" s="52">
        <v>195</v>
      </c>
      <c r="T61" s="52">
        <v>164</v>
      </c>
      <c r="U61" s="52">
        <v>202</v>
      </c>
      <c r="V61" s="52">
        <v>173</v>
      </c>
      <c r="W61" s="52"/>
      <c r="X61" s="48">
        <f t="shared" ref="X61" si="54">SUM(S61:W61)</f>
        <v>734</v>
      </c>
      <c r="Y61" s="47"/>
      <c r="Z61" s="52">
        <v>159</v>
      </c>
      <c r="AA61" s="52">
        <v>144</v>
      </c>
      <c r="AB61" s="52">
        <v>155</v>
      </c>
      <c r="AC61" s="52">
        <v>161</v>
      </c>
      <c r="AD61" s="52"/>
      <c r="AE61" s="48">
        <f t="shared" ref="AE61" si="55">SUM(Z61:AD61)</f>
        <v>619</v>
      </c>
      <c r="AF61" s="47"/>
      <c r="AG61" s="52">
        <v>169</v>
      </c>
      <c r="AH61" s="52">
        <v>147</v>
      </c>
      <c r="AI61" s="52">
        <v>179</v>
      </c>
      <c r="AJ61" s="52">
        <v>100</v>
      </c>
      <c r="AK61" s="52">
        <v>123</v>
      </c>
      <c r="AL61" s="48">
        <f t="shared" ref="AL61" si="56">SUM(AG61:AK61)</f>
        <v>718</v>
      </c>
      <c r="AM61" s="47"/>
      <c r="AN61" s="52">
        <v>151</v>
      </c>
      <c r="AO61" s="52">
        <v>145</v>
      </c>
      <c r="AP61" s="52">
        <v>148</v>
      </c>
      <c r="AQ61" s="52">
        <v>151</v>
      </c>
      <c r="AR61" s="52"/>
      <c r="AS61" s="48">
        <f t="shared" ref="AS61" si="57">SUM(AN61:AR61)</f>
        <v>595</v>
      </c>
      <c r="AT61" s="47"/>
      <c r="AU61" s="52"/>
      <c r="AV61" s="52"/>
      <c r="AW61" s="52"/>
      <c r="AX61" s="52"/>
      <c r="AY61" s="52"/>
      <c r="AZ61" s="48">
        <f t="shared" ref="AZ61" si="58">SUM(AU61:AY61)</f>
        <v>0</v>
      </c>
      <c r="BA61" s="47"/>
      <c r="BB61" s="52"/>
      <c r="BC61" s="52"/>
      <c r="BD61" s="52"/>
      <c r="BE61" s="52"/>
      <c r="BF61" s="52"/>
      <c r="BG61" s="48">
        <f t="shared" ref="BG61" si="59">SUM(BB61:BF61)</f>
        <v>0</v>
      </c>
      <c r="BH61" s="47"/>
      <c r="BI61" s="52"/>
      <c r="BJ61" s="52"/>
      <c r="BK61" s="52"/>
      <c r="BL61" s="52"/>
      <c r="BM61" s="52"/>
      <c r="BN61" s="48">
        <f t="shared" ref="BN61" si="60">SUM(BI61:BM61)</f>
        <v>0</v>
      </c>
      <c r="BO61" s="47"/>
      <c r="BP61" s="52"/>
      <c r="BQ61" s="52"/>
      <c r="BR61" s="52"/>
      <c r="BS61" s="52"/>
      <c r="BT61" s="52"/>
      <c r="BU61" s="48">
        <f t="shared" ref="BU61" si="61">SUM(BP61:BT61)</f>
        <v>0</v>
      </c>
      <c r="BV61" s="47"/>
      <c r="BW61" s="52"/>
      <c r="BX61" s="52"/>
      <c r="BY61" s="52"/>
      <c r="BZ61" s="52"/>
      <c r="CA61" s="52"/>
      <c r="CB61" s="48">
        <f t="shared" ref="CB61" si="62">SUM(BW61:CA61)</f>
        <v>0</v>
      </c>
      <c r="CC61" s="47"/>
      <c r="CD61" s="52"/>
      <c r="CE61" s="52"/>
      <c r="CF61" s="52"/>
      <c r="CG61" s="52"/>
      <c r="CH61" s="52"/>
      <c r="CI61" s="48">
        <f t="shared" ref="CI61" si="63">SUM(CD61:CH61)</f>
        <v>0</v>
      </c>
      <c r="CJ61" s="47"/>
      <c r="CK61" s="303">
        <f t="shared" si="5"/>
        <v>1031</v>
      </c>
      <c r="CL61" s="303">
        <f t="shared" si="0"/>
        <v>950</v>
      </c>
      <c r="CM61" s="303">
        <f t="shared" si="1"/>
        <v>992</v>
      </c>
      <c r="CN61" s="303">
        <f t="shared" si="2"/>
        <v>935</v>
      </c>
      <c r="CO61" s="303">
        <f t="shared" si="3"/>
        <v>290</v>
      </c>
      <c r="CP61" s="305">
        <f t="shared" si="4"/>
        <v>4198</v>
      </c>
      <c r="CQ61" s="36"/>
    </row>
    <row r="62" spans="2:95" s="346" customFormat="1" ht="7.2" customHeight="1">
      <c r="B62" s="341"/>
      <c r="C62" s="342"/>
      <c r="D62" s="343"/>
      <c r="E62" s="344"/>
      <c r="F62" s="344"/>
      <c r="G62" s="344"/>
      <c r="H62" s="344"/>
      <c r="I62" s="344"/>
      <c r="J62" s="344"/>
      <c r="K62" s="343"/>
      <c r="L62" s="344"/>
      <c r="M62" s="344"/>
      <c r="N62" s="344"/>
      <c r="O62" s="344"/>
      <c r="P62" s="344"/>
      <c r="Q62" s="344"/>
      <c r="R62" s="343"/>
      <c r="S62" s="344"/>
      <c r="T62" s="344"/>
      <c r="U62" s="344"/>
      <c r="V62" s="344"/>
      <c r="W62" s="344"/>
      <c r="X62" s="344"/>
      <c r="Y62" s="343"/>
      <c r="Z62" s="344"/>
      <c r="AA62" s="344"/>
      <c r="AB62" s="344"/>
      <c r="AC62" s="344"/>
      <c r="AD62" s="344"/>
      <c r="AE62" s="344"/>
      <c r="AF62" s="343"/>
      <c r="AG62" s="344"/>
      <c r="AH62" s="344"/>
      <c r="AI62" s="344"/>
      <c r="AJ62" s="344"/>
      <c r="AK62" s="344"/>
      <c r="AL62" s="344"/>
      <c r="AM62" s="343"/>
      <c r="AN62" s="344"/>
      <c r="AO62" s="344"/>
      <c r="AP62" s="344"/>
      <c r="AQ62" s="344"/>
      <c r="AR62" s="344"/>
      <c r="AS62" s="344"/>
      <c r="AT62" s="343"/>
      <c r="AU62" s="344"/>
      <c r="AV62" s="344"/>
      <c r="AW62" s="344"/>
      <c r="AX62" s="344"/>
      <c r="AY62" s="344"/>
      <c r="AZ62" s="344"/>
      <c r="BA62" s="343"/>
      <c r="BB62" s="344"/>
      <c r="BC62" s="344"/>
      <c r="BD62" s="344"/>
      <c r="BE62" s="344"/>
      <c r="BF62" s="344"/>
      <c r="BG62" s="344"/>
      <c r="BH62" s="343"/>
      <c r="BI62" s="344"/>
      <c r="BJ62" s="344"/>
      <c r="BK62" s="344"/>
      <c r="BL62" s="344"/>
      <c r="BM62" s="344"/>
      <c r="BN62" s="344"/>
      <c r="BO62" s="343"/>
      <c r="BP62" s="344"/>
      <c r="BQ62" s="344"/>
      <c r="BR62" s="344"/>
      <c r="BS62" s="344"/>
      <c r="BT62" s="344"/>
      <c r="BU62" s="344"/>
      <c r="BV62" s="343"/>
      <c r="BW62" s="344"/>
      <c r="BX62" s="344"/>
      <c r="BY62" s="344"/>
      <c r="BZ62" s="344"/>
      <c r="CA62" s="344"/>
      <c r="CB62" s="344"/>
      <c r="CC62" s="343"/>
      <c r="CD62" s="344"/>
      <c r="CE62" s="344"/>
      <c r="CF62" s="344"/>
      <c r="CG62" s="344"/>
      <c r="CH62" s="344"/>
      <c r="CI62" s="344"/>
      <c r="CJ62" s="343"/>
      <c r="CK62" s="344"/>
      <c r="CL62" s="344"/>
      <c r="CM62" s="344"/>
      <c r="CN62" s="344"/>
      <c r="CO62" s="344"/>
      <c r="CP62" s="344"/>
      <c r="CQ62" s="345"/>
    </row>
    <row r="63" spans="2:95" s="13" customFormat="1" ht="20.100000000000001" customHeight="1">
      <c r="B63" s="1014" t="s">
        <v>367</v>
      </c>
      <c r="C63" s="301" t="s">
        <v>359</v>
      </c>
      <c r="D63" s="47"/>
      <c r="E63" s="72"/>
      <c r="F63" s="72"/>
      <c r="G63" s="72"/>
      <c r="H63" s="72"/>
      <c r="I63" s="72"/>
      <c r="J63" s="52">
        <v>14733</v>
      </c>
      <c r="K63" s="47"/>
      <c r="L63" s="72"/>
      <c r="M63" s="72"/>
      <c r="N63" s="72"/>
      <c r="O63" s="72"/>
      <c r="P63" s="72"/>
      <c r="Q63" s="52">
        <v>15994</v>
      </c>
      <c r="R63" s="47"/>
      <c r="S63" s="72"/>
      <c r="T63" s="72"/>
      <c r="U63" s="72"/>
      <c r="V63" s="72"/>
      <c r="W63" s="72"/>
      <c r="X63" s="52">
        <v>14206</v>
      </c>
      <c r="Y63" s="47"/>
      <c r="Z63" s="72"/>
      <c r="AA63" s="72"/>
      <c r="AB63" s="72"/>
      <c r="AC63" s="72"/>
      <c r="AD63" s="72"/>
      <c r="AE63" s="52">
        <v>15538</v>
      </c>
      <c r="AF63" s="47"/>
      <c r="AG63" s="72"/>
      <c r="AH63" s="72"/>
      <c r="AI63" s="72"/>
      <c r="AJ63" s="72"/>
      <c r="AK63" s="72"/>
      <c r="AL63" s="52">
        <v>13390</v>
      </c>
      <c r="AM63" s="47"/>
      <c r="AN63" s="72"/>
      <c r="AO63" s="72"/>
      <c r="AP63" s="72"/>
      <c r="AQ63" s="72"/>
      <c r="AR63" s="72"/>
      <c r="AS63" s="52">
        <v>10717</v>
      </c>
      <c r="AT63" s="47"/>
      <c r="AU63" s="72"/>
      <c r="AV63" s="72"/>
      <c r="AW63" s="72"/>
      <c r="AX63" s="72"/>
      <c r="AY63" s="72"/>
      <c r="AZ63" s="52"/>
      <c r="BA63" s="47"/>
      <c r="BB63" s="72"/>
      <c r="BC63" s="72"/>
      <c r="BD63" s="72"/>
      <c r="BE63" s="72"/>
      <c r="BF63" s="72"/>
      <c r="BG63" s="52"/>
      <c r="BH63" s="47"/>
      <c r="BI63" s="72"/>
      <c r="BJ63" s="72"/>
      <c r="BK63" s="72"/>
      <c r="BL63" s="72"/>
      <c r="BM63" s="72"/>
      <c r="BN63" s="52"/>
      <c r="BO63" s="47"/>
      <c r="BP63" s="72"/>
      <c r="BQ63" s="72"/>
      <c r="BR63" s="72"/>
      <c r="BS63" s="72"/>
      <c r="BT63" s="72"/>
      <c r="BU63" s="52"/>
      <c r="BV63" s="47"/>
      <c r="BW63" s="72"/>
      <c r="BX63" s="72"/>
      <c r="BY63" s="72"/>
      <c r="BZ63" s="72"/>
      <c r="CA63" s="72"/>
      <c r="CB63" s="52"/>
      <c r="CC63" s="47"/>
      <c r="CD63" s="72"/>
      <c r="CE63" s="72"/>
      <c r="CF63" s="72"/>
      <c r="CG63" s="72"/>
      <c r="CH63" s="72"/>
      <c r="CI63" s="52"/>
      <c r="CJ63" s="47"/>
      <c r="CK63" s="72"/>
      <c r="CL63" s="72"/>
      <c r="CM63" s="72"/>
      <c r="CN63" s="72"/>
      <c r="CO63" s="72"/>
      <c r="CP63" s="303">
        <f t="shared" si="4"/>
        <v>84578</v>
      </c>
      <c r="CQ63" s="36"/>
    </row>
    <row r="64" spans="2:95" s="13" customFormat="1" ht="20.100000000000001" customHeight="1">
      <c r="B64" s="1014"/>
      <c r="C64" s="301" t="s">
        <v>368</v>
      </c>
      <c r="D64" s="47"/>
      <c r="E64" s="72"/>
      <c r="F64" s="72"/>
      <c r="G64" s="72"/>
      <c r="H64" s="72"/>
      <c r="I64" s="72"/>
      <c r="J64" s="52">
        <v>20681</v>
      </c>
      <c r="K64" s="47"/>
      <c r="L64" s="72"/>
      <c r="M64" s="72"/>
      <c r="N64" s="72"/>
      <c r="O64" s="72"/>
      <c r="P64" s="72"/>
      <c r="Q64" s="52">
        <v>21662</v>
      </c>
      <c r="R64" s="47"/>
      <c r="S64" s="72"/>
      <c r="T64" s="72"/>
      <c r="U64" s="72"/>
      <c r="V64" s="72"/>
      <c r="W64" s="72"/>
      <c r="X64" s="52">
        <v>17104</v>
      </c>
      <c r="Y64" s="47"/>
      <c r="Z64" s="72"/>
      <c r="AA64" s="72"/>
      <c r="AB64" s="72"/>
      <c r="AC64" s="72"/>
      <c r="AD64" s="72"/>
      <c r="AE64" s="52">
        <v>19994</v>
      </c>
      <c r="AF64" s="47"/>
      <c r="AG64" s="72"/>
      <c r="AH64" s="72"/>
      <c r="AI64" s="72"/>
      <c r="AJ64" s="72"/>
      <c r="AK64" s="72"/>
      <c r="AL64" s="52">
        <v>18550</v>
      </c>
      <c r="AM64" s="47"/>
      <c r="AN64" s="72"/>
      <c r="AO64" s="72"/>
      <c r="AP64" s="72"/>
      <c r="AQ64" s="72"/>
      <c r="AR64" s="72"/>
      <c r="AS64" s="52">
        <v>17938</v>
      </c>
      <c r="AT64" s="47"/>
      <c r="AU64" s="72"/>
      <c r="AV64" s="72"/>
      <c r="AW64" s="72"/>
      <c r="AX64" s="72"/>
      <c r="AY64" s="72"/>
      <c r="AZ64" s="52"/>
      <c r="BA64" s="47"/>
      <c r="BB64" s="72"/>
      <c r="BC64" s="72"/>
      <c r="BD64" s="72"/>
      <c r="BE64" s="72"/>
      <c r="BF64" s="72"/>
      <c r="BG64" s="52"/>
      <c r="BH64" s="47"/>
      <c r="BI64" s="72"/>
      <c r="BJ64" s="72"/>
      <c r="BK64" s="72"/>
      <c r="BL64" s="72"/>
      <c r="BM64" s="72"/>
      <c r="BN64" s="52"/>
      <c r="BO64" s="47"/>
      <c r="BP64" s="72"/>
      <c r="BQ64" s="72"/>
      <c r="BR64" s="72"/>
      <c r="BS64" s="72"/>
      <c r="BT64" s="72"/>
      <c r="BU64" s="52"/>
      <c r="BV64" s="47"/>
      <c r="BW64" s="72"/>
      <c r="BX64" s="72"/>
      <c r="BY64" s="72"/>
      <c r="BZ64" s="72"/>
      <c r="CA64" s="72"/>
      <c r="CB64" s="52"/>
      <c r="CC64" s="47"/>
      <c r="CD64" s="72"/>
      <c r="CE64" s="72"/>
      <c r="CF64" s="72"/>
      <c r="CG64" s="72"/>
      <c r="CH64" s="72"/>
      <c r="CI64" s="52"/>
      <c r="CJ64" s="47"/>
      <c r="CK64" s="72"/>
      <c r="CL64" s="72"/>
      <c r="CM64" s="72"/>
      <c r="CN64" s="72"/>
      <c r="CO64" s="72"/>
      <c r="CP64" s="303">
        <f t="shared" si="4"/>
        <v>115929</v>
      </c>
      <c r="CQ64" s="36"/>
    </row>
    <row r="65" spans="2:95" s="13" customFormat="1" ht="20.100000000000001" customHeight="1">
      <c r="B65" s="1014"/>
      <c r="C65" s="301" t="s">
        <v>369</v>
      </c>
      <c r="D65" s="47"/>
      <c r="E65" s="72"/>
      <c r="F65" s="72"/>
      <c r="G65" s="72"/>
      <c r="H65" s="72"/>
      <c r="I65" s="72"/>
      <c r="J65" s="52">
        <v>5837</v>
      </c>
      <c r="K65" s="47"/>
      <c r="L65" s="72"/>
      <c r="M65" s="72"/>
      <c r="N65" s="72"/>
      <c r="O65" s="72"/>
      <c r="P65" s="72"/>
      <c r="Q65" s="52">
        <v>5571</v>
      </c>
      <c r="R65" s="47"/>
      <c r="S65" s="72"/>
      <c r="T65" s="72"/>
      <c r="U65" s="72"/>
      <c r="V65" s="72"/>
      <c r="W65" s="72"/>
      <c r="X65" s="52">
        <v>6028</v>
      </c>
      <c r="Y65" s="47"/>
      <c r="Z65" s="72"/>
      <c r="AA65" s="72"/>
      <c r="AB65" s="72"/>
      <c r="AC65" s="72"/>
      <c r="AD65" s="72"/>
      <c r="AE65" s="52">
        <v>6816</v>
      </c>
      <c r="AF65" s="47"/>
      <c r="AG65" s="72"/>
      <c r="AH65" s="72"/>
      <c r="AI65" s="72"/>
      <c r="AJ65" s="72"/>
      <c r="AK65" s="72"/>
      <c r="AL65" s="52">
        <v>5655</v>
      </c>
      <c r="AM65" s="47"/>
      <c r="AN65" s="72"/>
      <c r="AO65" s="72"/>
      <c r="AP65" s="72"/>
      <c r="AQ65" s="72"/>
      <c r="AR65" s="72"/>
      <c r="AS65" s="52">
        <v>5703</v>
      </c>
      <c r="AT65" s="47"/>
      <c r="AU65" s="72"/>
      <c r="AV65" s="72"/>
      <c r="AW65" s="72"/>
      <c r="AX65" s="72"/>
      <c r="AY65" s="72"/>
      <c r="AZ65" s="52"/>
      <c r="BA65" s="47"/>
      <c r="BB65" s="72"/>
      <c r="BC65" s="72"/>
      <c r="BD65" s="72"/>
      <c r="BE65" s="72"/>
      <c r="BF65" s="72"/>
      <c r="BG65" s="52"/>
      <c r="BH65" s="47"/>
      <c r="BI65" s="72"/>
      <c r="BJ65" s="72"/>
      <c r="BK65" s="72"/>
      <c r="BL65" s="72"/>
      <c r="BM65" s="72"/>
      <c r="BN65" s="52"/>
      <c r="BO65" s="47"/>
      <c r="BP65" s="72"/>
      <c r="BQ65" s="72"/>
      <c r="BR65" s="72"/>
      <c r="BS65" s="72"/>
      <c r="BT65" s="72"/>
      <c r="BU65" s="52"/>
      <c r="BV65" s="47"/>
      <c r="BW65" s="72"/>
      <c r="BX65" s="72"/>
      <c r="BY65" s="72"/>
      <c r="BZ65" s="72"/>
      <c r="CA65" s="72"/>
      <c r="CB65" s="52"/>
      <c r="CC65" s="47"/>
      <c r="CD65" s="72"/>
      <c r="CE65" s="72"/>
      <c r="CF65" s="72"/>
      <c r="CG65" s="72"/>
      <c r="CH65" s="72"/>
      <c r="CI65" s="52"/>
      <c r="CJ65" s="47"/>
      <c r="CK65" s="72"/>
      <c r="CL65" s="72"/>
      <c r="CM65" s="72"/>
      <c r="CN65" s="72"/>
      <c r="CO65" s="72"/>
      <c r="CP65" s="303">
        <f t="shared" si="4"/>
        <v>35610</v>
      </c>
      <c r="CQ65" s="36"/>
    </row>
    <row r="66" spans="2:95" s="13" customFormat="1" ht="20.100000000000001" customHeight="1">
      <c r="B66" s="1014"/>
      <c r="C66" s="301" t="s">
        <v>361</v>
      </c>
      <c r="D66" s="47"/>
      <c r="E66" s="72"/>
      <c r="F66" s="72"/>
      <c r="G66" s="72"/>
      <c r="H66" s="72"/>
      <c r="I66" s="72"/>
      <c r="J66" s="52">
        <v>97974</v>
      </c>
      <c r="K66" s="47"/>
      <c r="L66" s="72"/>
      <c r="M66" s="72"/>
      <c r="N66" s="72"/>
      <c r="O66" s="72"/>
      <c r="P66" s="72"/>
      <c r="Q66" s="52">
        <v>102140</v>
      </c>
      <c r="R66" s="47"/>
      <c r="S66" s="72"/>
      <c r="T66" s="72"/>
      <c r="U66" s="72"/>
      <c r="V66" s="72"/>
      <c r="W66" s="72"/>
      <c r="X66" s="52">
        <v>94250</v>
      </c>
      <c r="Y66" s="47"/>
      <c r="Z66" s="72"/>
      <c r="AA66" s="72"/>
      <c r="AB66" s="72"/>
      <c r="AC66" s="72"/>
      <c r="AD66" s="72"/>
      <c r="AE66" s="52">
        <v>106728</v>
      </c>
      <c r="AF66" s="47"/>
      <c r="AG66" s="72"/>
      <c r="AH66" s="72"/>
      <c r="AI66" s="72"/>
      <c r="AJ66" s="72"/>
      <c r="AK66" s="72"/>
      <c r="AL66" s="52">
        <v>85967</v>
      </c>
      <c r="AM66" s="47"/>
      <c r="AN66" s="72"/>
      <c r="AO66" s="72"/>
      <c r="AP66" s="72"/>
      <c r="AQ66" s="72"/>
      <c r="AR66" s="72"/>
      <c r="AS66" s="52">
        <v>86544</v>
      </c>
      <c r="AT66" s="47"/>
      <c r="AU66" s="72"/>
      <c r="AV66" s="72"/>
      <c r="AW66" s="72"/>
      <c r="AX66" s="72"/>
      <c r="AY66" s="72"/>
      <c r="AZ66" s="52"/>
      <c r="BA66" s="47"/>
      <c r="BB66" s="72"/>
      <c r="BC66" s="72"/>
      <c r="BD66" s="72"/>
      <c r="BE66" s="72"/>
      <c r="BF66" s="72"/>
      <c r="BG66" s="52"/>
      <c r="BH66" s="47"/>
      <c r="BI66" s="72"/>
      <c r="BJ66" s="72"/>
      <c r="BK66" s="72"/>
      <c r="BL66" s="72"/>
      <c r="BM66" s="72"/>
      <c r="BN66" s="52"/>
      <c r="BO66" s="47"/>
      <c r="BP66" s="72"/>
      <c r="BQ66" s="72"/>
      <c r="BR66" s="72"/>
      <c r="BS66" s="72"/>
      <c r="BT66" s="72"/>
      <c r="BU66" s="52"/>
      <c r="BV66" s="47"/>
      <c r="BW66" s="72"/>
      <c r="BX66" s="72"/>
      <c r="BY66" s="72"/>
      <c r="BZ66" s="72"/>
      <c r="CA66" s="72"/>
      <c r="CB66" s="52"/>
      <c r="CC66" s="47"/>
      <c r="CD66" s="72"/>
      <c r="CE66" s="72"/>
      <c r="CF66" s="72"/>
      <c r="CG66" s="72"/>
      <c r="CH66" s="72"/>
      <c r="CI66" s="52"/>
      <c r="CJ66" s="47"/>
      <c r="CK66" s="72"/>
      <c r="CL66" s="72"/>
      <c r="CM66" s="72"/>
      <c r="CN66" s="72"/>
      <c r="CO66" s="72"/>
      <c r="CP66" s="303">
        <f t="shared" si="4"/>
        <v>573603</v>
      </c>
      <c r="CQ66" s="36"/>
    </row>
    <row r="67" spans="2:95" s="13" customFormat="1" ht="20.100000000000001" customHeight="1">
      <c r="B67" s="1014"/>
      <c r="C67" s="301" t="s">
        <v>362</v>
      </c>
      <c r="D67" s="47"/>
      <c r="E67" s="72"/>
      <c r="F67" s="72"/>
      <c r="G67" s="72"/>
      <c r="H67" s="72"/>
      <c r="I67" s="72"/>
      <c r="J67" s="52">
        <v>142300</v>
      </c>
      <c r="K67" s="47"/>
      <c r="L67" s="72"/>
      <c r="M67" s="72"/>
      <c r="N67" s="72"/>
      <c r="O67" s="72"/>
      <c r="P67" s="72"/>
      <c r="Q67" s="52">
        <v>147668</v>
      </c>
      <c r="R67" s="47"/>
      <c r="S67" s="72"/>
      <c r="T67" s="72"/>
      <c r="U67" s="72"/>
      <c r="V67" s="72"/>
      <c r="W67" s="72"/>
      <c r="X67" s="52">
        <v>134647</v>
      </c>
      <c r="Y67" s="47"/>
      <c r="Z67" s="72"/>
      <c r="AA67" s="72"/>
      <c r="AB67" s="72"/>
      <c r="AC67" s="72"/>
      <c r="AD67" s="72"/>
      <c r="AE67" s="52">
        <v>154146</v>
      </c>
      <c r="AF67" s="47"/>
      <c r="AG67" s="72"/>
      <c r="AH67" s="72"/>
      <c r="AI67" s="72"/>
      <c r="AJ67" s="72"/>
      <c r="AK67" s="72"/>
      <c r="AL67" s="52">
        <v>127995</v>
      </c>
      <c r="AM67" s="47"/>
      <c r="AN67" s="72"/>
      <c r="AO67" s="72"/>
      <c r="AP67" s="72"/>
      <c r="AQ67" s="72"/>
      <c r="AR67" s="72"/>
      <c r="AS67" s="52">
        <v>125025</v>
      </c>
      <c r="AT67" s="47"/>
      <c r="AU67" s="72"/>
      <c r="AV67" s="72"/>
      <c r="AW67" s="72"/>
      <c r="AX67" s="72"/>
      <c r="AY67" s="72"/>
      <c r="AZ67" s="52"/>
      <c r="BA67" s="47"/>
      <c r="BB67" s="72"/>
      <c r="BC67" s="72"/>
      <c r="BD67" s="72"/>
      <c r="BE67" s="72"/>
      <c r="BF67" s="72"/>
      <c r="BG67" s="52"/>
      <c r="BH67" s="47"/>
      <c r="BI67" s="72"/>
      <c r="BJ67" s="72"/>
      <c r="BK67" s="72"/>
      <c r="BL67" s="72"/>
      <c r="BM67" s="72"/>
      <c r="BN67" s="52"/>
      <c r="BO67" s="47"/>
      <c r="BP67" s="72"/>
      <c r="BQ67" s="72"/>
      <c r="BR67" s="72"/>
      <c r="BS67" s="72"/>
      <c r="BT67" s="72"/>
      <c r="BU67" s="52"/>
      <c r="BV67" s="47"/>
      <c r="BW67" s="72"/>
      <c r="BX67" s="72"/>
      <c r="BY67" s="72"/>
      <c r="BZ67" s="72"/>
      <c r="CA67" s="72"/>
      <c r="CB67" s="52"/>
      <c r="CC67" s="47"/>
      <c r="CD67" s="72"/>
      <c r="CE67" s="72"/>
      <c r="CF67" s="72"/>
      <c r="CG67" s="72"/>
      <c r="CH67" s="72"/>
      <c r="CI67" s="52"/>
      <c r="CJ67" s="47"/>
      <c r="CK67" s="72"/>
      <c r="CL67" s="72"/>
      <c r="CM67" s="72"/>
      <c r="CN67" s="72"/>
      <c r="CO67" s="72"/>
      <c r="CP67" s="303">
        <f t="shared" si="4"/>
        <v>831781</v>
      </c>
      <c r="CQ67" s="36"/>
    </row>
    <row r="68" spans="2:95" s="13" customFormat="1" ht="20.100000000000001" customHeight="1">
      <c r="B68" s="1014"/>
      <c r="C68" s="301" t="s">
        <v>363</v>
      </c>
      <c r="D68" s="47"/>
      <c r="E68" s="72"/>
      <c r="F68" s="72"/>
      <c r="G68" s="72"/>
      <c r="H68" s="72"/>
      <c r="I68" s="72"/>
      <c r="J68" s="299">
        <v>7294.82</v>
      </c>
      <c r="K68" s="47"/>
      <c r="L68" s="72"/>
      <c r="M68" s="72"/>
      <c r="N68" s="72"/>
      <c r="O68" s="72"/>
      <c r="P68" s="72"/>
      <c r="Q68" s="299">
        <v>7340.08</v>
      </c>
      <c r="R68" s="47"/>
      <c r="S68" s="72"/>
      <c r="T68" s="72"/>
      <c r="U68" s="72"/>
      <c r="V68" s="72"/>
      <c r="W68" s="72"/>
      <c r="X68" s="299">
        <v>6609.45</v>
      </c>
      <c r="Y68" s="47"/>
      <c r="Z68" s="72"/>
      <c r="AA68" s="72"/>
      <c r="AB68" s="72"/>
      <c r="AC68" s="72"/>
      <c r="AD68" s="72"/>
      <c r="AE68" s="299">
        <v>7400.6</v>
      </c>
      <c r="AF68" s="47"/>
      <c r="AG68" s="72"/>
      <c r="AH68" s="72"/>
      <c r="AI68" s="72"/>
      <c r="AJ68" s="72"/>
      <c r="AK68" s="72"/>
      <c r="AL68" s="299">
        <v>6297.58</v>
      </c>
      <c r="AM68" s="47"/>
      <c r="AN68" s="72"/>
      <c r="AO68" s="72"/>
      <c r="AP68" s="72"/>
      <c r="AQ68" s="72"/>
      <c r="AR68" s="72"/>
      <c r="AS68" s="299">
        <v>6297.03</v>
      </c>
      <c r="AT68" s="47"/>
      <c r="AU68" s="72"/>
      <c r="AV68" s="72"/>
      <c r="AW68" s="72"/>
      <c r="AX68" s="72"/>
      <c r="AY68" s="72"/>
      <c r="AZ68" s="299"/>
      <c r="BA68" s="47"/>
      <c r="BB68" s="72"/>
      <c r="BC68" s="72"/>
      <c r="BD68" s="72"/>
      <c r="BE68" s="72"/>
      <c r="BF68" s="72"/>
      <c r="BG68" s="299"/>
      <c r="BH68" s="47"/>
      <c r="BI68" s="72"/>
      <c r="BJ68" s="72"/>
      <c r="BK68" s="72"/>
      <c r="BL68" s="72"/>
      <c r="BM68" s="72"/>
      <c r="BN68" s="299"/>
      <c r="BO68" s="47"/>
      <c r="BP68" s="72"/>
      <c r="BQ68" s="72"/>
      <c r="BR68" s="72"/>
      <c r="BS68" s="72"/>
      <c r="BT68" s="72"/>
      <c r="BU68" s="299"/>
      <c r="BV68" s="47"/>
      <c r="BW68" s="72"/>
      <c r="BX68" s="72"/>
      <c r="BY68" s="72"/>
      <c r="BZ68" s="72"/>
      <c r="CA68" s="72"/>
      <c r="CB68" s="299"/>
      <c r="CC68" s="47"/>
      <c r="CD68" s="72"/>
      <c r="CE68" s="72"/>
      <c r="CF68" s="72"/>
      <c r="CG68" s="72"/>
      <c r="CH68" s="72"/>
      <c r="CI68" s="299"/>
      <c r="CJ68" s="47"/>
      <c r="CK68" s="72"/>
      <c r="CL68" s="72"/>
      <c r="CM68" s="72"/>
      <c r="CN68" s="72"/>
      <c r="CO68" s="72"/>
      <c r="CP68" s="304">
        <f t="shared" si="4"/>
        <v>41239.56</v>
      </c>
      <c r="CQ68" s="36"/>
    </row>
    <row r="69" spans="2:95" s="13" customFormat="1" ht="21" customHeight="1">
      <c r="B69" s="1014"/>
      <c r="C69" s="301" t="s">
        <v>364</v>
      </c>
      <c r="D69" s="47"/>
      <c r="E69" s="72"/>
      <c r="F69" s="72"/>
      <c r="G69" s="72"/>
      <c r="H69" s="72"/>
      <c r="I69" s="72"/>
      <c r="J69" s="299">
        <v>5509.4</v>
      </c>
      <c r="K69" s="47"/>
      <c r="L69" s="72"/>
      <c r="M69" s="72"/>
      <c r="N69" s="72"/>
      <c r="O69" s="72"/>
      <c r="P69" s="72"/>
      <c r="Q69" s="299">
        <v>5692.15</v>
      </c>
      <c r="R69" s="47"/>
      <c r="S69" s="72"/>
      <c r="T69" s="72"/>
      <c r="U69" s="72"/>
      <c r="V69" s="72"/>
      <c r="W69" s="72"/>
      <c r="X69" s="299">
        <v>5199.12</v>
      </c>
      <c r="Y69" s="47"/>
      <c r="Z69" s="72"/>
      <c r="AA69" s="72"/>
      <c r="AB69" s="72"/>
      <c r="AC69" s="72"/>
      <c r="AD69" s="72"/>
      <c r="AE69" s="299">
        <v>5887.18</v>
      </c>
      <c r="AF69" s="47"/>
      <c r="AG69" s="72"/>
      <c r="AH69" s="72"/>
      <c r="AI69" s="72"/>
      <c r="AJ69" s="72"/>
      <c r="AK69" s="72"/>
      <c r="AL69" s="299">
        <v>4809.2</v>
      </c>
      <c r="AM69" s="47"/>
      <c r="AN69" s="72"/>
      <c r="AO69" s="72"/>
      <c r="AP69" s="72"/>
      <c r="AQ69" s="72"/>
      <c r="AR69" s="72"/>
      <c r="AS69" s="299">
        <v>4840.67</v>
      </c>
      <c r="AT69" s="47"/>
      <c r="AU69" s="72"/>
      <c r="AV69" s="72"/>
      <c r="AW69" s="72"/>
      <c r="AX69" s="72"/>
      <c r="AY69" s="72"/>
      <c r="AZ69" s="299"/>
      <c r="BA69" s="47"/>
      <c r="BB69" s="72"/>
      <c r="BC69" s="72"/>
      <c r="BD69" s="72"/>
      <c r="BE69" s="72"/>
      <c r="BF69" s="72"/>
      <c r="BG69" s="299"/>
      <c r="BH69" s="47"/>
      <c r="BI69" s="72"/>
      <c r="BJ69" s="72"/>
      <c r="BK69" s="72"/>
      <c r="BL69" s="72"/>
      <c r="BM69" s="72"/>
      <c r="BN69" s="299"/>
      <c r="BO69" s="47"/>
      <c r="BP69" s="72"/>
      <c r="BQ69" s="72"/>
      <c r="BR69" s="72"/>
      <c r="BS69" s="72"/>
      <c r="BT69" s="72"/>
      <c r="BU69" s="299"/>
      <c r="BV69" s="47"/>
      <c r="BW69" s="72"/>
      <c r="BX69" s="72"/>
      <c r="BY69" s="72"/>
      <c r="BZ69" s="72"/>
      <c r="CA69" s="72"/>
      <c r="CB69" s="299"/>
      <c r="CC69" s="47"/>
      <c r="CD69" s="72"/>
      <c r="CE69" s="72"/>
      <c r="CF69" s="72"/>
      <c r="CG69" s="72"/>
      <c r="CH69" s="72"/>
      <c r="CI69" s="299"/>
      <c r="CJ69" s="47"/>
      <c r="CK69" s="72"/>
      <c r="CL69" s="72"/>
      <c r="CM69" s="72"/>
      <c r="CN69" s="72"/>
      <c r="CO69" s="72"/>
      <c r="CP69" s="304">
        <f t="shared" si="4"/>
        <v>31937.72</v>
      </c>
      <c r="CQ69" s="36"/>
    </row>
    <row r="70" spans="2:95" ht="21" customHeight="1">
      <c r="B70" s="1014"/>
      <c r="C70" s="301" t="s">
        <v>461</v>
      </c>
      <c r="E70" s="72"/>
      <c r="F70" s="72"/>
      <c r="G70" s="72"/>
      <c r="H70" s="72"/>
      <c r="I70" s="72"/>
      <c r="J70" s="52">
        <v>1850</v>
      </c>
      <c r="L70" s="72"/>
      <c r="M70" s="72"/>
      <c r="N70" s="72"/>
      <c r="O70" s="72"/>
      <c r="P70" s="72"/>
      <c r="Q70" s="52">
        <v>1993</v>
      </c>
      <c r="S70" s="72"/>
      <c r="T70" s="72"/>
      <c r="U70" s="72"/>
      <c r="V70" s="72"/>
      <c r="W70" s="72"/>
      <c r="X70" s="52">
        <v>1723</v>
      </c>
      <c r="Z70" s="72"/>
      <c r="AA70" s="72"/>
      <c r="AB70" s="72"/>
      <c r="AC70" s="72"/>
      <c r="AD70" s="72"/>
      <c r="AE70" s="52">
        <v>2058</v>
      </c>
      <c r="AG70" s="72"/>
      <c r="AH70" s="72"/>
      <c r="AI70" s="72"/>
      <c r="AJ70" s="72"/>
      <c r="AK70" s="72"/>
      <c r="AL70" s="52">
        <v>2124</v>
      </c>
      <c r="AN70" s="72"/>
      <c r="AO70" s="72"/>
      <c r="AP70" s="72"/>
      <c r="AQ70" s="72"/>
      <c r="AR70" s="72"/>
      <c r="AS70" s="52">
        <v>2012</v>
      </c>
      <c r="AU70" s="72"/>
      <c r="AV70" s="72"/>
      <c r="AW70" s="72"/>
      <c r="AX70" s="72"/>
      <c r="AY70" s="72"/>
      <c r="AZ70" s="52"/>
      <c r="BB70" s="72"/>
      <c r="BC70" s="72"/>
      <c r="BD70" s="72"/>
      <c r="BE70" s="72"/>
      <c r="BF70" s="72"/>
      <c r="BG70" s="52"/>
      <c r="BI70" s="72"/>
      <c r="BJ70" s="72"/>
      <c r="BK70" s="72"/>
      <c r="BL70" s="72"/>
      <c r="BM70" s="72"/>
      <c r="BN70" s="52"/>
      <c r="BP70" s="72"/>
      <c r="BQ70" s="72"/>
      <c r="BR70" s="72"/>
      <c r="BS70" s="72"/>
      <c r="BT70" s="72"/>
      <c r="BU70" s="52"/>
      <c r="BW70" s="72"/>
      <c r="BX70" s="72"/>
      <c r="BY70" s="72"/>
      <c r="BZ70" s="72"/>
      <c r="CA70" s="72"/>
      <c r="CB70" s="52"/>
      <c r="CD70" s="72"/>
      <c r="CE70" s="72"/>
      <c r="CF70" s="72"/>
      <c r="CG70" s="72"/>
      <c r="CH70" s="72"/>
      <c r="CI70" s="52"/>
      <c r="CK70" s="72"/>
      <c r="CL70" s="72"/>
      <c r="CM70" s="72"/>
      <c r="CN70" s="72"/>
      <c r="CO70" s="72"/>
      <c r="CP70" s="304">
        <f t="shared" si="4"/>
        <v>11760</v>
      </c>
    </row>
    <row r="71" spans="2:95" ht="21" customHeight="1">
      <c r="B71" s="1014"/>
      <c r="C71" s="301" t="s">
        <v>463</v>
      </c>
      <c r="E71" s="72"/>
      <c r="F71" s="72"/>
      <c r="G71" s="72"/>
      <c r="H71" s="72"/>
      <c r="I71" s="72"/>
      <c r="J71" s="52"/>
      <c r="L71" s="72"/>
      <c r="M71" s="72"/>
      <c r="N71" s="72"/>
      <c r="O71" s="72"/>
      <c r="P71" s="72"/>
      <c r="Q71" s="52"/>
      <c r="S71" s="72"/>
      <c r="T71" s="72"/>
      <c r="U71" s="72"/>
      <c r="V71" s="72"/>
      <c r="W71" s="72"/>
      <c r="X71" s="52"/>
      <c r="Z71" s="72"/>
      <c r="AA71" s="72"/>
      <c r="AB71" s="72"/>
      <c r="AC71" s="72"/>
      <c r="AD71" s="72"/>
      <c r="AE71" s="52"/>
      <c r="AG71" s="72"/>
      <c r="AH71" s="72"/>
      <c r="AI71" s="72"/>
      <c r="AJ71" s="72"/>
      <c r="AK71" s="72"/>
      <c r="AL71" s="52"/>
      <c r="AN71" s="72"/>
      <c r="AO71" s="72"/>
      <c r="AP71" s="72"/>
      <c r="AQ71" s="72"/>
      <c r="AR71" s="72"/>
      <c r="AS71" s="52"/>
      <c r="AU71" s="72"/>
      <c r="AV71" s="72"/>
      <c r="AW71" s="72"/>
      <c r="AX71" s="72"/>
      <c r="AY71" s="72"/>
      <c r="AZ71" s="52"/>
      <c r="BB71" s="72"/>
      <c r="BC71" s="72"/>
      <c r="BD71" s="72"/>
      <c r="BE71" s="72"/>
      <c r="BF71" s="72"/>
      <c r="BG71" s="52"/>
      <c r="BI71" s="72"/>
      <c r="BJ71" s="72"/>
      <c r="BK71" s="72"/>
      <c r="BL71" s="72"/>
      <c r="BM71" s="72"/>
      <c r="BN71" s="52"/>
      <c r="BP71" s="72"/>
      <c r="BQ71" s="72"/>
      <c r="BR71" s="72"/>
      <c r="BS71" s="72"/>
      <c r="BT71" s="72"/>
      <c r="BU71" s="52"/>
      <c r="BW71" s="72"/>
      <c r="BX71" s="72"/>
      <c r="BY71" s="72"/>
      <c r="BZ71" s="72"/>
      <c r="CA71" s="72"/>
      <c r="CB71" s="52"/>
      <c r="CD71" s="72"/>
      <c r="CE71" s="72"/>
      <c r="CF71" s="72"/>
      <c r="CG71" s="72"/>
      <c r="CH71" s="72"/>
      <c r="CI71" s="52"/>
      <c r="CK71" s="72"/>
      <c r="CL71" s="72"/>
      <c r="CM71" s="72"/>
      <c r="CN71" s="72"/>
      <c r="CO71" s="72"/>
      <c r="CP71" s="304">
        <f t="shared" si="4"/>
        <v>0</v>
      </c>
    </row>
    <row r="72" spans="2:95" ht="21" customHeight="1">
      <c r="B72" s="1014"/>
      <c r="C72" s="301" t="s">
        <v>462</v>
      </c>
      <c r="E72" s="302"/>
      <c r="F72" s="302"/>
      <c r="G72" s="302"/>
      <c r="H72" s="302"/>
      <c r="I72" s="302"/>
      <c r="J72" s="51">
        <v>1402</v>
      </c>
      <c r="L72" s="302"/>
      <c r="M72" s="302"/>
      <c r="N72" s="302"/>
      <c r="O72" s="302"/>
      <c r="P72" s="302"/>
      <c r="Q72" s="51">
        <v>1574</v>
      </c>
      <c r="S72" s="302"/>
      <c r="T72" s="302"/>
      <c r="U72" s="302"/>
      <c r="V72" s="302"/>
      <c r="W72" s="302"/>
      <c r="X72" s="51">
        <v>1403</v>
      </c>
      <c r="Z72" s="302"/>
      <c r="AA72" s="302"/>
      <c r="AB72" s="302"/>
      <c r="AC72" s="302"/>
      <c r="AD72" s="302"/>
      <c r="AE72" s="51">
        <v>1594</v>
      </c>
      <c r="AG72" s="302"/>
      <c r="AH72" s="302"/>
      <c r="AI72" s="302"/>
      <c r="AJ72" s="302"/>
      <c r="AK72" s="302"/>
      <c r="AL72" s="51">
        <v>1262</v>
      </c>
      <c r="AN72" s="302"/>
      <c r="AO72" s="302"/>
      <c r="AP72" s="302"/>
      <c r="AQ72" s="302"/>
      <c r="AR72" s="302"/>
      <c r="AS72" s="51">
        <v>1392</v>
      </c>
      <c r="AU72" s="302"/>
      <c r="AV72" s="302"/>
      <c r="AW72" s="302"/>
      <c r="AX72" s="302"/>
      <c r="AY72" s="302"/>
      <c r="AZ72" s="51"/>
      <c r="BB72" s="302"/>
      <c r="BC72" s="302"/>
      <c r="BD72" s="302"/>
      <c r="BE72" s="302"/>
      <c r="BF72" s="302"/>
      <c r="BG72" s="51"/>
      <c r="BI72" s="302"/>
      <c r="BJ72" s="302"/>
      <c r="BK72" s="302"/>
      <c r="BL72" s="302"/>
      <c r="BM72" s="302"/>
      <c r="BN72" s="51"/>
      <c r="BP72" s="302"/>
      <c r="BQ72" s="302"/>
      <c r="BR72" s="302"/>
      <c r="BS72" s="302"/>
      <c r="BT72" s="302"/>
      <c r="BU72" s="51"/>
      <c r="BW72" s="302"/>
      <c r="BX72" s="302"/>
      <c r="BY72" s="302"/>
      <c r="BZ72" s="302"/>
      <c r="CA72" s="302"/>
      <c r="CB72" s="51"/>
      <c r="CD72" s="302"/>
      <c r="CE72" s="302"/>
      <c r="CF72" s="302"/>
      <c r="CG72" s="302"/>
      <c r="CH72" s="302"/>
      <c r="CI72" s="51"/>
      <c r="CK72" s="302"/>
      <c r="CL72" s="302"/>
      <c r="CM72" s="302"/>
      <c r="CN72" s="302"/>
      <c r="CO72" s="302"/>
      <c r="CP72" s="304">
        <f t="shared" si="4"/>
        <v>8627</v>
      </c>
    </row>
    <row r="73" spans="2:95" s="346" customFormat="1" ht="7.2" customHeight="1">
      <c r="B73" s="341"/>
      <c r="C73" s="342"/>
      <c r="D73" s="343"/>
      <c r="E73" s="344"/>
      <c r="F73" s="344"/>
      <c r="G73" s="344"/>
      <c r="H73" s="344"/>
      <c r="I73" s="344"/>
      <c r="J73" s="344"/>
      <c r="K73" s="343"/>
      <c r="L73" s="344"/>
      <c r="M73" s="344"/>
      <c r="N73" s="344"/>
      <c r="O73" s="344"/>
      <c r="P73" s="344"/>
      <c r="Q73" s="344"/>
      <c r="R73" s="343"/>
      <c r="S73" s="344"/>
      <c r="T73" s="344"/>
      <c r="U73" s="344"/>
      <c r="V73" s="344"/>
      <c r="W73" s="344"/>
      <c r="X73" s="344"/>
      <c r="Y73" s="343"/>
      <c r="Z73" s="344"/>
      <c r="AA73" s="344"/>
      <c r="AB73" s="344"/>
      <c r="AC73" s="344"/>
      <c r="AD73" s="344"/>
      <c r="AE73" s="344"/>
      <c r="AF73" s="343"/>
      <c r="AG73" s="344"/>
      <c r="AH73" s="344"/>
      <c r="AI73" s="344"/>
      <c r="AJ73" s="344"/>
      <c r="AK73" s="344"/>
      <c r="AL73" s="344"/>
      <c r="AM73" s="343"/>
      <c r="AN73" s="344"/>
      <c r="AO73" s="344"/>
      <c r="AP73" s="344"/>
      <c r="AQ73" s="344"/>
      <c r="AR73" s="344"/>
      <c r="AS73" s="344"/>
      <c r="AT73" s="343"/>
      <c r="AU73" s="344"/>
      <c r="AV73" s="344"/>
      <c r="AW73" s="344"/>
      <c r="AX73" s="344"/>
      <c r="AY73" s="344"/>
      <c r="AZ73" s="344"/>
      <c r="BA73" s="343"/>
      <c r="BB73" s="344"/>
      <c r="BC73" s="344"/>
      <c r="BD73" s="344"/>
      <c r="BE73" s="344"/>
      <c r="BF73" s="344"/>
      <c r="BG73" s="344"/>
      <c r="BH73" s="343"/>
      <c r="BI73" s="344"/>
      <c r="BJ73" s="344"/>
      <c r="BK73" s="344"/>
      <c r="BL73" s="344"/>
      <c r="BM73" s="344"/>
      <c r="BN73" s="344"/>
      <c r="BO73" s="343"/>
      <c r="BP73" s="344"/>
      <c r="BQ73" s="344"/>
      <c r="BR73" s="344"/>
      <c r="BS73" s="344"/>
      <c r="BT73" s="344"/>
      <c r="BU73" s="344"/>
      <c r="BV73" s="343"/>
      <c r="BW73" s="344"/>
      <c r="BX73" s="344"/>
      <c r="BY73" s="344"/>
      <c r="BZ73" s="344"/>
      <c r="CA73" s="344"/>
      <c r="CB73" s="344"/>
      <c r="CC73" s="343"/>
      <c r="CD73" s="344"/>
      <c r="CE73" s="344"/>
      <c r="CF73" s="344"/>
      <c r="CG73" s="344"/>
      <c r="CH73" s="344"/>
      <c r="CI73" s="344"/>
      <c r="CJ73" s="343"/>
      <c r="CK73" s="344"/>
      <c r="CL73" s="344"/>
      <c r="CM73" s="344"/>
      <c r="CN73" s="344"/>
      <c r="CO73" s="344"/>
      <c r="CP73" s="344"/>
      <c r="CQ73" s="345"/>
    </row>
    <row r="74" spans="2:95" ht="20.399999999999999" customHeight="1">
      <c r="B74" s="1004" t="s">
        <v>370</v>
      </c>
      <c r="C74" s="250" t="s">
        <v>187</v>
      </c>
      <c r="D74" s="42"/>
      <c r="E74" s="72"/>
      <c r="F74" s="72"/>
      <c r="G74" s="72"/>
      <c r="H74" s="72"/>
      <c r="I74" s="72"/>
      <c r="J74" s="300">
        <v>31</v>
      </c>
      <c r="K74" s="42"/>
      <c r="L74" s="72"/>
      <c r="M74" s="72"/>
      <c r="N74" s="72"/>
      <c r="O74" s="72"/>
      <c r="P74" s="72"/>
      <c r="Q74" s="300">
        <v>31</v>
      </c>
      <c r="R74" s="42"/>
      <c r="S74" s="72"/>
      <c r="T74" s="72"/>
      <c r="U74" s="72"/>
      <c r="V74" s="72"/>
      <c r="W74" s="72"/>
      <c r="X74" s="300">
        <v>30</v>
      </c>
      <c r="Y74" s="42"/>
      <c r="Z74" s="72"/>
      <c r="AA74" s="72"/>
      <c r="AB74" s="72"/>
      <c r="AC74" s="72"/>
      <c r="AD74" s="72"/>
      <c r="AE74" s="300">
        <v>31</v>
      </c>
      <c r="AF74" s="42"/>
      <c r="AG74" s="72"/>
      <c r="AH74" s="72"/>
      <c r="AI74" s="72"/>
      <c r="AJ74" s="72"/>
      <c r="AK74" s="72"/>
      <c r="AL74" s="300">
        <v>29</v>
      </c>
      <c r="AM74" s="42"/>
      <c r="AN74" s="72"/>
      <c r="AO74" s="72"/>
      <c r="AP74" s="72"/>
      <c r="AQ74" s="72"/>
      <c r="AR74" s="72"/>
      <c r="AS74" s="300">
        <v>30</v>
      </c>
      <c r="AT74" s="42"/>
      <c r="AU74" s="72"/>
      <c r="AV74" s="72"/>
      <c r="AW74" s="72"/>
      <c r="AX74" s="72"/>
      <c r="AY74" s="72"/>
      <c r="AZ74" s="300"/>
      <c r="BA74" s="42"/>
      <c r="BB74" s="72"/>
      <c r="BC74" s="72"/>
      <c r="BD74" s="72"/>
      <c r="BE74" s="72"/>
      <c r="BF74" s="72"/>
      <c r="BG74" s="300"/>
      <c r="BH74" s="42"/>
      <c r="BI74" s="72"/>
      <c r="BJ74" s="72"/>
      <c r="BK74" s="72"/>
      <c r="BL74" s="72"/>
      <c r="BM74" s="72"/>
      <c r="BN74" s="300"/>
      <c r="BO74" s="42"/>
      <c r="BP74" s="72"/>
      <c r="BQ74" s="72"/>
      <c r="BR74" s="72"/>
      <c r="BS74" s="72"/>
      <c r="BT74" s="72"/>
      <c r="BU74" s="300"/>
      <c r="BV74" s="42"/>
      <c r="BW74" s="72"/>
      <c r="BX74" s="72"/>
      <c r="BY74" s="72"/>
      <c r="BZ74" s="72"/>
      <c r="CA74" s="72"/>
      <c r="CB74" s="300"/>
      <c r="CC74" s="42"/>
      <c r="CD74" s="72"/>
      <c r="CE74" s="72"/>
      <c r="CF74" s="72"/>
      <c r="CG74" s="72"/>
      <c r="CH74" s="72"/>
      <c r="CI74" s="300"/>
      <c r="CJ74" s="42"/>
      <c r="CK74" s="72"/>
      <c r="CL74" s="72"/>
      <c r="CM74" s="72"/>
      <c r="CN74" s="72"/>
      <c r="CO74" s="72"/>
      <c r="CP74" s="305">
        <f>SUM(J74+Q74+X74+AE74+AL74+AS74+AZ74+BG74+BN74+BU74+CB74+CI74)</f>
        <v>182</v>
      </c>
      <c r="CQ74" s="40"/>
    </row>
    <row r="75" spans="2:95" ht="20.399999999999999" customHeight="1">
      <c r="B75" s="1005"/>
      <c r="C75" s="309" t="s">
        <v>384</v>
      </c>
      <c r="D75" s="42"/>
      <c r="E75" s="302"/>
      <c r="F75" s="302"/>
      <c r="G75" s="302"/>
      <c r="H75" s="302"/>
      <c r="I75" s="302"/>
      <c r="J75" s="300">
        <v>4</v>
      </c>
      <c r="K75" s="42"/>
      <c r="L75" s="302"/>
      <c r="M75" s="302"/>
      <c r="N75" s="302"/>
      <c r="O75" s="302"/>
      <c r="P75" s="302"/>
      <c r="Q75" s="300">
        <v>5</v>
      </c>
      <c r="R75" s="42"/>
      <c r="S75" s="302"/>
      <c r="T75" s="302"/>
      <c r="U75" s="302"/>
      <c r="V75" s="302"/>
      <c r="W75" s="302"/>
      <c r="X75" s="300">
        <v>4</v>
      </c>
      <c r="Y75" s="42"/>
      <c r="Z75" s="302"/>
      <c r="AA75" s="302"/>
      <c r="AB75" s="302"/>
      <c r="AC75" s="302"/>
      <c r="AD75" s="302"/>
      <c r="AE75" s="300">
        <v>4</v>
      </c>
      <c r="AF75" s="42"/>
      <c r="AG75" s="302"/>
      <c r="AH75" s="302"/>
      <c r="AI75" s="302"/>
      <c r="AJ75" s="302"/>
      <c r="AK75" s="302"/>
      <c r="AL75" s="300">
        <v>5</v>
      </c>
      <c r="AM75" s="42"/>
      <c r="AN75" s="302"/>
      <c r="AO75" s="302"/>
      <c r="AP75" s="302"/>
      <c r="AQ75" s="302"/>
      <c r="AR75" s="302"/>
      <c r="AS75" s="300">
        <v>4</v>
      </c>
      <c r="AT75" s="42"/>
      <c r="AU75" s="302"/>
      <c r="AV75" s="302"/>
      <c r="AW75" s="302"/>
      <c r="AX75" s="302"/>
      <c r="AY75" s="302"/>
      <c r="AZ75" s="300"/>
      <c r="BA75" s="42"/>
      <c r="BB75" s="302"/>
      <c r="BC75" s="302"/>
      <c r="BD75" s="302"/>
      <c r="BE75" s="302"/>
      <c r="BF75" s="302"/>
      <c r="BG75" s="300"/>
      <c r="BH75" s="42"/>
      <c r="BI75" s="302"/>
      <c r="BJ75" s="302"/>
      <c r="BK75" s="302"/>
      <c r="BL75" s="302"/>
      <c r="BM75" s="302"/>
      <c r="BN75" s="300"/>
      <c r="BO75" s="42"/>
      <c r="BP75" s="302"/>
      <c r="BQ75" s="302"/>
      <c r="BR75" s="302"/>
      <c r="BS75" s="302"/>
      <c r="BT75" s="302"/>
      <c r="BU75" s="300"/>
      <c r="BV75" s="42"/>
      <c r="BW75" s="302"/>
      <c r="BX75" s="302"/>
      <c r="BY75" s="302"/>
      <c r="BZ75" s="302"/>
      <c r="CA75" s="302"/>
      <c r="CB75" s="300"/>
      <c r="CC75" s="42"/>
      <c r="CD75" s="302"/>
      <c r="CE75" s="302"/>
      <c r="CF75" s="302"/>
      <c r="CG75" s="302"/>
      <c r="CH75" s="302"/>
      <c r="CI75" s="300"/>
      <c r="CJ75" s="42"/>
      <c r="CK75" s="302"/>
      <c r="CL75" s="302"/>
      <c r="CM75" s="302"/>
      <c r="CN75" s="302"/>
      <c r="CO75" s="302"/>
      <c r="CP75" s="305">
        <f>SUM(J75+Q75+X75+AE75+AL75+AS75+AZ75+BG75+BN75+BU75+CB75+CI75)</f>
        <v>26</v>
      </c>
      <c r="CQ75" s="40"/>
    </row>
    <row r="76" spans="2:95" ht="20.399999999999999" customHeight="1">
      <c r="B76" s="1006"/>
      <c r="C76" s="307" t="s">
        <v>385</v>
      </c>
      <c r="D76" s="42"/>
      <c r="E76" s="302"/>
      <c r="F76" s="302"/>
      <c r="G76" s="302"/>
      <c r="H76" s="302"/>
      <c r="I76" s="302"/>
      <c r="J76" s="300">
        <v>4</v>
      </c>
      <c r="K76" s="42"/>
      <c r="L76" s="302"/>
      <c r="M76" s="302"/>
      <c r="N76" s="302"/>
      <c r="O76" s="302"/>
      <c r="P76" s="302"/>
      <c r="Q76" s="300">
        <v>4</v>
      </c>
      <c r="R76" s="42"/>
      <c r="S76" s="302"/>
      <c r="T76" s="302"/>
      <c r="U76" s="302"/>
      <c r="V76" s="302"/>
      <c r="W76" s="302"/>
      <c r="X76" s="300">
        <v>5</v>
      </c>
      <c r="Y76" s="42"/>
      <c r="Z76" s="302"/>
      <c r="AA76" s="302"/>
      <c r="AB76" s="302"/>
      <c r="AC76" s="302"/>
      <c r="AD76" s="302"/>
      <c r="AE76" s="300">
        <v>4</v>
      </c>
      <c r="AF76" s="42"/>
      <c r="AG76" s="302"/>
      <c r="AH76" s="302"/>
      <c r="AI76" s="302"/>
      <c r="AJ76" s="302"/>
      <c r="AK76" s="302"/>
      <c r="AL76" s="300">
        <v>4</v>
      </c>
      <c r="AM76" s="42"/>
      <c r="AN76" s="302"/>
      <c r="AO76" s="302"/>
      <c r="AP76" s="302"/>
      <c r="AQ76" s="302"/>
      <c r="AR76" s="302"/>
      <c r="AS76" s="300">
        <v>5</v>
      </c>
      <c r="AT76" s="42"/>
      <c r="AU76" s="302"/>
      <c r="AV76" s="302"/>
      <c r="AW76" s="302"/>
      <c r="AX76" s="302"/>
      <c r="AY76" s="302"/>
      <c r="AZ76" s="300"/>
      <c r="BA76" s="42"/>
      <c r="BB76" s="302"/>
      <c r="BC76" s="302"/>
      <c r="BD76" s="302"/>
      <c r="BE76" s="302"/>
      <c r="BF76" s="302"/>
      <c r="BG76" s="300"/>
      <c r="BH76" s="42"/>
      <c r="BI76" s="302"/>
      <c r="BJ76" s="302"/>
      <c r="BK76" s="302"/>
      <c r="BL76" s="302"/>
      <c r="BM76" s="302"/>
      <c r="BN76" s="300"/>
      <c r="BO76" s="42"/>
      <c r="BP76" s="302"/>
      <c r="BQ76" s="302"/>
      <c r="BR76" s="302"/>
      <c r="BS76" s="302"/>
      <c r="BT76" s="302"/>
      <c r="BU76" s="300"/>
      <c r="BV76" s="42"/>
      <c r="BW76" s="302"/>
      <c r="BX76" s="302"/>
      <c r="BY76" s="302"/>
      <c r="BZ76" s="302"/>
      <c r="CA76" s="302"/>
      <c r="CB76" s="300"/>
      <c r="CC76" s="42"/>
      <c r="CD76" s="302"/>
      <c r="CE76" s="302"/>
      <c r="CF76" s="302"/>
      <c r="CG76" s="302"/>
      <c r="CH76" s="302"/>
      <c r="CI76" s="300"/>
      <c r="CJ76" s="42"/>
      <c r="CK76" s="302"/>
      <c r="CL76" s="302"/>
      <c r="CM76" s="302"/>
      <c r="CN76" s="302"/>
      <c r="CO76" s="302"/>
      <c r="CP76" s="305">
        <f>SUM(J76+Q76+X76+AE76+AL76+AS76+AZ76+BG76+BN76+BU76+CB76+CI76)</f>
        <v>26</v>
      </c>
      <c r="CQ76" s="40"/>
    </row>
    <row r="77" spans="2:95" s="346" customFormat="1" ht="7.2" customHeight="1">
      <c r="B77" s="341"/>
      <c r="C77" s="510"/>
      <c r="D77" s="343"/>
      <c r="E77" s="344"/>
      <c r="F77" s="344"/>
      <c r="G77" s="344"/>
      <c r="H77" s="344"/>
      <c r="I77" s="344"/>
      <c r="J77" s="344"/>
      <c r="K77" s="343"/>
      <c r="L77" s="344"/>
      <c r="M77" s="344"/>
      <c r="N77" s="344"/>
      <c r="O77" s="344"/>
      <c r="P77" s="344"/>
      <c r="Q77" s="344"/>
      <c r="R77" s="343"/>
      <c r="S77" s="344"/>
      <c r="T77" s="344"/>
      <c r="U77" s="344"/>
      <c r="V77" s="344"/>
      <c r="W77" s="344"/>
      <c r="X77" s="344"/>
      <c r="Y77" s="343"/>
      <c r="Z77" s="344"/>
      <c r="AA77" s="344"/>
      <c r="AB77" s="344"/>
      <c r="AC77" s="344"/>
      <c r="AD77" s="344"/>
      <c r="AE77" s="344"/>
      <c r="AF77" s="343"/>
      <c r="AG77" s="344"/>
      <c r="AH77" s="344"/>
      <c r="AI77" s="344"/>
      <c r="AJ77" s="344"/>
      <c r="AK77" s="344"/>
      <c r="AL77" s="344"/>
      <c r="AM77" s="343"/>
      <c r="AN77" s="344"/>
      <c r="AO77" s="344"/>
      <c r="AP77" s="344"/>
      <c r="AQ77" s="344"/>
      <c r="AR77" s="344"/>
      <c r="AS77" s="344"/>
      <c r="AT77" s="343"/>
      <c r="AU77" s="344"/>
      <c r="AV77" s="344"/>
      <c r="AW77" s="344"/>
      <c r="AX77" s="344"/>
      <c r="AY77" s="344"/>
      <c r="AZ77" s="344"/>
      <c r="BA77" s="343"/>
      <c r="BB77" s="344"/>
      <c r="BC77" s="344"/>
      <c r="BD77" s="344"/>
      <c r="BE77" s="344"/>
      <c r="BF77" s="344"/>
      <c r="BG77" s="344"/>
      <c r="BH77" s="343"/>
      <c r="BI77" s="344"/>
      <c r="BJ77" s="344"/>
      <c r="BK77" s="344"/>
      <c r="BL77" s="344"/>
      <c r="BM77" s="344"/>
      <c r="BN77" s="344"/>
      <c r="BO77" s="343"/>
      <c r="BP77" s="344"/>
      <c r="BQ77" s="344"/>
      <c r="BR77" s="344"/>
      <c r="BS77" s="344"/>
      <c r="BT77" s="344"/>
      <c r="BU77" s="344"/>
      <c r="BV77" s="343"/>
      <c r="BW77" s="344"/>
      <c r="BX77" s="344"/>
      <c r="BY77" s="344"/>
      <c r="BZ77" s="344"/>
      <c r="CA77" s="344"/>
      <c r="CB77" s="344"/>
      <c r="CC77" s="343"/>
      <c r="CD77" s="344"/>
      <c r="CE77" s="344"/>
      <c r="CF77" s="344"/>
      <c r="CG77" s="344"/>
      <c r="CH77" s="344"/>
      <c r="CI77" s="344"/>
      <c r="CJ77" s="343"/>
      <c r="CK77" s="344"/>
      <c r="CL77" s="344"/>
      <c r="CM77" s="344"/>
      <c r="CN77" s="344"/>
      <c r="CO77" s="344"/>
      <c r="CP77" s="514" t="s">
        <v>460</v>
      </c>
      <c r="CQ77" s="345"/>
    </row>
    <row r="78" spans="2:95" ht="21" customHeight="1">
      <c r="B78" s="509" t="s">
        <v>459</v>
      </c>
      <c r="C78" s="506" t="s">
        <v>11</v>
      </c>
      <c r="E78" s="302"/>
      <c r="F78" s="302"/>
      <c r="G78" s="302"/>
      <c r="H78" s="302"/>
      <c r="I78" s="302"/>
      <c r="J78" s="513">
        <v>0.9607</v>
      </c>
      <c r="L78" s="302"/>
      <c r="M78" s="302"/>
      <c r="N78" s="302"/>
      <c r="O78" s="302"/>
      <c r="P78" s="302"/>
      <c r="Q78" s="513">
        <v>0.94820000000000004</v>
      </c>
      <c r="S78" s="302"/>
      <c r="T78" s="302"/>
      <c r="U78" s="302"/>
      <c r="V78" s="302"/>
      <c r="W78" s="302"/>
      <c r="X78" s="513">
        <v>0.95069999999999999</v>
      </c>
      <c r="Z78" s="302"/>
      <c r="AA78" s="302"/>
      <c r="AB78" s="302"/>
      <c r="AC78" s="302"/>
      <c r="AD78" s="302"/>
      <c r="AE78" s="513">
        <v>0.94899999999999995</v>
      </c>
      <c r="AG78" s="302"/>
      <c r="AH78" s="302"/>
      <c r="AI78" s="302"/>
      <c r="AJ78" s="302"/>
      <c r="AK78" s="302"/>
      <c r="AL78" s="513">
        <v>0.95269999999999999</v>
      </c>
      <c r="AN78" s="302"/>
      <c r="AO78" s="302"/>
      <c r="AP78" s="302"/>
      <c r="AQ78" s="302"/>
      <c r="AR78" s="302"/>
      <c r="AS78" s="513">
        <v>0.95889999999999997</v>
      </c>
      <c r="AU78" s="302"/>
      <c r="AV78" s="302"/>
      <c r="AW78" s="302"/>
      <c r="AX78" s="302"/>
      <c r="AY78" s="302"/>
      <c r="AZ78" s="513"/>
      <c r="BB78" s="302"/>
      <c r="BC78" s="302"/>
      <c r="BD78" s="302"/>
      <c r="BE78" s="302"/>
      <c r="BF78" s="302"/>
      <c r="BG78" s="513"/>
      <c r="BI78" s="302"/>
      <c r="BJ78" s="302"/>
      <c r="BK78" s="302"/>
      <c r="BL78" s="302"/>
      <c r="BM78" s="302"/>
      <c r="BN78" s="513"/>
      <c r="BP78" s="302"/>
      <c r="BQ78" s="302"/>
      <c r="BR78" s="302"/>
      <c r="BS78" s="302"/>
      <c r="BT78" s="302"/>
      <c r="BU78" s="513"/>
      <c r="BW78" s="302"/>
      <c r="BX78" s="302"/>
      <c r="BY78" s="302"/>
      <c r="BZ78" s="302"/>
      <c r="CA78" s="302"/>
      <c r="CB78" s="513"/>
      <c r="CD78" s="302"/>
      <c r="CE78" s="302"/>
      <c r="CF78" s="302"/>
      <c r="CG78" s="302"/>
      <c r="CH78" s="302"/>
      <c r="CI78" s="513"/>
      <c r="CK78" s="302"/>
      <c r="CL78" s="302"/>
      <c r="CM78" s="302"/>
      <c r="CN78" s="302"/>
      <c r="CO78" s="302"/>
      <c r="CP78" s="523">
        <f>IFERROR(AVERAGE(J78,Q78,X78,AE78,AL78,AS78,AZ78,BG78,BN78,BU78,CB78,CI78),0)</f>
        <v>0.95336666666666658</v>
      </c>
    </row>
    <row r="79" spans="2:95" s="346" customFormat="1" ht="7.2" customHeight="1">
      <c r="B79" s="341"/>
      <c r="C79" s="511"/>
      <c r="D79" s="343"/>
      <c r="E79" s="344"/>
      <c r="F79" s="344"/>
      <c r="G79" s="344"/>
      <c r="H79" s="344"/>
      <c r="I79" s="344"/>
      <c r="J79" s="344"/>
      <c r="K79" s="343"/>
      <c r="L79" s="344"/>
      <c r="M79" s="344"/>
      <c r="N79" s="344"/>
      <c r="O79" s="344"/>
      <c r="P79" s="344"/>
      <c r="Q79" s="344"/>
      <c r="R79" s="343"/>
      <c r="S79" s="344"/>
      <c r="T79" s="344"/>
      <c r="U79" s="344"/>
      <c r="V79" s="344"/>
      <c r="W79" s="344"/>
      <c r="X79" s="344"/>
      <c r="Y79" s="343"/>
      <c r="Z79" s="344"/>
      <c r="AA79" s="344"/>
      <c r="AB79" s="344"/>
      <c r="AC79" s="344"/>
      <c r="AD79" s="344"/>
      <c r="AE79" s="344"/>
      <c r="AF79" s="343"/>
      <c r="AG79" s="344"/>
      <c r="AH79" s="344"/>
      <c r="AI79" s="344"/>
      <c r="AJ79" s="344"/>
      <c r="AK79" s="344"/>
      <c r="AL79" s="344"/>
      <c r="AM79" s="343"/>
      <c r="AN79" s="344"/>
      <c r="AO79" s="344"/>
      <c r="AP79" s="344"/>
      <c r="AQ79" s="344"/>
      <c r="AR79" s="344"/>
      <c r="AS79" s="344"/>
      <c r="AT79" s="343"/>
      <c r="AU79" s="344"/>
      <c r="AV79" s="344"/>
      <c r="AW79" s="344"/>
      <c r="AX79" s="344"/>
      <c r="AY79" s="344"/>
      <c r="AZ79" s="344"/>
      <c r="BA79" s="343"/>
      <c r="BB79" s="344"/>
      <c r="BC79" s="344"/>
      <c r="BD79" s="344"/>
      <c r="BE79" s="344"/>
      <c r="BF79" s="344"/>
      <c r="BG79" s="344"/>
      <c r="BH79" s="343"/>
      <c r="BI79" s="344"/>
      <c r="BJ79" s="344"/>
      <c r="BK79" s="344"/>
      <c r="BL79" s="344"/>
      <c r="BM79" s="344"/>
      <c r="BN79" s="344"/>
      <c r="BO79" s="343"/>
      <c r="BP79" s="344"/>
      <c r="BQ79" s="344"/>
      <c r="BR79" s="344"/>
      <c r="BS79" s="344"/>
      <c r="BT79" s="344"/>
      <c r="BU79" s="344"/>
      <c r="BV79" s="343"/>
      <c r="BW79" s="344"/>
      <c r="BX79" s="344"/>
      <c r="BY79" s="344"/>
      <c r="BZ79" s="344"/>
      <c r="CA79" s="344"/>
      <c r="CB79" s="344"/>
      <c r="CC79" s="343"/>
      <c r="CD79" s="344"/>
      <c r="CE79" s="344"/>
      <c r="CF79" s="344"/>
      <c r="CG79" s="344"/>
      <c r="CH79" s="344"/>
      <c r="CI79" s="344"/>
      <c r="CJ79" s="343"/>
      <c r="CK79" s="344"/>
      <c r="CL79" s="344"/>
      <c r="CM79" s="344"/>
      <c r="CN79" s="344"/>
      <c r="CO79" s="344"/>
      <c r="CP79" s="344"/>
      <c r="CQ79" s="345"/>
    </row>
    <row r="80" spans="2:95" ht="21" customHeight="1">
      <c r="B80" s="1012" t="s">
        <v>394</v>
      </c>
      <c r="C80" s="506" t="s">
        <v>453</v>
      </c>
      <c r="E80" s="72"/>
      <c r="F80" s="72"/>
      <c r="G80" s="72"/>
      <c r="H80" s="72"/>
      <c r="I80" s="72"/>
      <c r="J80" s="52">
        <v>2940</v>
      </c>
      <c r="L80" s="72"/>
      <c r="M80" s="72"/>
      <c r="N80" s="72"/>
      <c r="O80" s="72"/>
      <c r="P80" s="72"/>
      <c r="Q80" s="52">
        <v>3130</v>
      </c>
      <c r="S80" s="72"/>
      <c r="T80" s="72"/>
      <c r="U80" s="72"/>
      <c r="V80" s="72"/>
      <c r="W80" s="72"/>
      <c r="X80" s="52">
        <v>3060</v>
      </c>
      <c r="Z80" s="72"/>
      <c r="AA80" s="72"/>
      <c r="AB80" s="72"/>
      <c r="AC80" s="72"/>
      <c r="AD80" s="72"/>
      <c r="AE80" s="52">
        <v>3477</v>
      </c>
      <c r="AG80" s="72"/>
      <c r="AH80" s="72"/>
      <c r="AI80" s="72"/>
      <c r="AJ80" s="72"/>
      <c r="AK80" s="72"/>
      <c r="AL80" s="52">
        <v>2716</v>
      </c>
      <c r="AN80" s="72"/>
      <c r="AO80" s="72"/>
      <c r="AP80" s="72"/>
      <c r="AQ80" s="72"/>
      <c r="AR80" s="72"/>
      <c r="AS80" s="52">
        <v>2864</v>
      </c>
      <c r="AU80" s="72"/>
      <c r="AV80" s="72"/>
      <c r="AW80" s="72"/>
      <c r="AX80" s="72"/>
      <c r="AY80" s="72"/>
      <c r="AZ80" s="52"/>
      <c r="BB80" s="72"/>
      <c r="BC80" s="72"/>
      <c r="BD80" s="72"/>
      <c r="BE80" s="72"/>
      <c r="BF80" s="72"/>
      <c r="BG80" s="52"/>
      <c r="BI80" s="72"/>
      <c r="BJ80" s="72"/>
      <c r="BK80" s="72"/>
      <c r="BL80" s="72"/>
      <c r="BM80" s="72"/>
      <c r="BN80" s="52"/>
      <c r="BP80" s="72"/>
      <c r="BQ80" s="72"/>
      <c r="BR80" s="72"/>
      <c r="BS80" s="72"/>
      <c r="BT80" s="72"/>
      <c r="BU80" s="52"/>
      <c r="BW80" s="72"/>
      <c r="BX80" s="72"/>
      <c r="BY80" s="72"/>
      <c r="BZ80" s="72"/>
      <c r="CA80" s="72"/>
      <c r="CB80" s="52"/>
      <c r="CD80" s="72"/>
      <c r="CE80" s="72"/>
      <c r="CF80" s="72"/>
      <c r="CG80" s="72"/>
      <c r="CH80" s="72"/>
      <c r="CI80" s="52"/>
      <c r="CK80" s="72"/>
      <c r="CL80" s="72"/>
      <c r="CM80" s="72"/>
      <c r="CN80" s="72"/>
      <c r="CO80" s="72"/>
      <c r="CP80" s="305">
        <f>SUM(J80+Q80+X80+AE80+AL80+AS80+AZ80+BG80+BN80+BU80+CB80+CI80)</f>
        <v>18187</v>
      </c>
    </row>
    <row r="81" spans="2:95" ht="21" customHeight="1">
      <c r="B81" s="1012"/>
      <c r="C81" s="506" t="s">
        <v>452</v>
      </c>
      <c r="E81" s="72"/>
      <c r="F81" s="72"/>
      <c r="G81" s="72"/>
      <c r="H81" s="72"/>
      <c r="I81" s="72"/>
      <c r="J81" s="52">
        <v>3077</v>
      </c>
      <c r="L81" s="72"/>
      <c r="M81" s="72"/>
      <c r="N81" s="72"/>
      <c r="O81" s="72"/>
      <c r="P81" s="72"/>
      <c r="Q81" s="52">
        <v>3027</v>
      </c>
      <c r="S81" s="72"/>
      <c r="T81" s="72"/>
      <c r="U81" s="72"/>
      <c r="V81" s="72"/>
      <c r="W81" s="72"/>
      <c r="X81" s="52">
        <v>2833</v>
      </c>
      <c r="Z81" s="72"/>
      <c r="AA81" s="72"/>
      <c r="AB81" s="72"/>
      <c r="AC81" s="72"/>
      <c r="AD81" s="72"/>
      <c r="AE81" s="52">
        <v>3040</v>
      </c>
      <c r="AG81" s="72"/>
      <c r="AH81" s="72"/>
      <c r="AI81" s="72"/>
      <c r="AJ81" s="72"/>
      <c r="AK81" s="72"/>
      <c r="AL81" s="52">
        <v>2502</v>
      </c>
      <c r="AN81" s="72"/>
      <c r="AO81" s="72"/>
      <c r="AP81" s="72"/>
      <c r="AQ81" s="72"/>
      <c r="AR81" s="72"/>
      <c r="AS81" s="52">
        <v>2571</v>
      </c>
      <c r="AU81" s="72"/>
      <c r="AV81" s="72"/>
      <c r="AW81" s="72"/>
      <c r="AX81" s="72"/>
      <c r="AY81" s="72"/>
      <c r="AZ81" s="52"/>
      <c r="BB81" s="72"/>
      <c r="BC81" s="72"/>
      <c r="BD81" s="72"/>
      <c r="BE81" s="72"/>
      <c r="BF81" s="72"/>
      <c r="BG81" s="52"/>
      <c r="BI81" s="72"/>
      <c r="BJ81" s="72"/>
      <c r="BK81" s="72"/>
      <c r="BL81" s="72"/>
      <c r="BM81" s="72"/>
      <c r="BN81" s="52"/>
      <c r="BP81" s="72"/>
      <c r="BQ81" s="72"/>
      <c r="BR81" s="72"/>
      <c r="BS81" s="72"/>
      <c r="BT81" s="72"/>
      <c r="BU81" s="52"/>
      <c r="BW81" s="72"/>
      <c r="BX81" s="72"/>
      <c r="BY81" s="72"/>
      <c r="BZ81" s="72"/>
      <c r="CA81" s="72"/>
      <c r="CB81" s="52"/>
      <c r="CD81" s="72"/>
      <c r="CE81" s="72"/>
      <c r="CF81" s="72"/>
      <c r="CG81" s="72"/>
      <c r="CH81" s="72"/>
      <c r="CI81" s="52"/>
      <c r="CK81" s="72"/>
      <c r="CL81" s="72"/>
      <c r="CM81" s="72"/>
      <c r="CN81" s="72"/>
      <c r="CO81" s="72"/>
      <c r="CP81" s="305">
        <f>SUM(J81+Q81+X81+AE81+AL81+AS81+AZ81+BG81+BN81+BU81+CB81+CI81)</f>
        <v>17050</v>
      </c>
    </row>
    <row r="82" spans="2:95" ht="21" customHeight="1">
      <c r="B82" s="1012"/>
      <c r="C82" s="504" t="s">
        <v>390</v>
      </c>
      <c r="E82" s="72"/>
      <c r="F82" s="72"/>
      <c r="G82" s="72"/>
      <c r="H82" s="72"/>
      <c r="I82" s="72"/>
      <c r="J82" s="52">
        <v>22</v>
      </c>
      <c r="K82" s="47"/>
      <c r="L82" s="72"/>
      <c r="M82" s="72"/>
      <c r="N82" s="72"/>
      <c r="O82" s="72"/>
      <c r="P82" s="72"/>
      <c r="Q82" s="52">
        <v>28</v>
      </c>
      <c r="R82" s="47"/>
      <c r="S82" s="72"/>
      <c r="T82" s="72"/>
      <c r="U82" s="72"/>
      <c r="V82" s="72"/>
      <c r="W82" s="72"/>
      <c r="X82" s="52">
        <v>22</v>
      </c>
      <c r="Y82" s="47"/>
      <c r="Z82" s="72"/>
      <c r="AA82" s="72"/>
      <c r="AB82" s="72"/>
      <c r="AC82" s="72"/>
      <c r="AD82" s="72"/>
      <c r="AE82" s="52">
        <v>26</v>
      </c>
      <c r="AF82" s="47"/>
      <c r="AG82" s="72"/>
      <c r="AH82" s="72"/>
      <c r="AI82" s="72"/>
      <c r="AJ82" s="72"/>
      <c r="AK82" s="72"/>
      <c r="AL82" s="52">
        <v>30</v>
      </c>
      <c r="AM82" s="47"/>
      <c r="AN82" s="72"/>
      <c r="AO82" s="72"/>
      <c r="AP82" s="72"/>
      <c r="AQ82" s="72"/>
      <c r="AR82" s="72"/>
      <c r="AS82" s="52">
        <v>17</v>
      </c>
      <c r="AT82" s="47"/>
      <c r="AU82" s="72"/>
      <c r="AV82" s="72"/>
      <c r="AW82" s="72"/>
      <c r="AX82" s="72"/>
      <c r="AY82" s="72"/>
      <c r="AZ82" s="52"/>
      <c r="BA82" s="47"/>
      <c r="BB82" s="72"/>
      <c r="BC82" s="72"/>
      <c r="BD82" s="72"/>
      <c r="BE82" s="72"/>
      <c r="BF82" s="72"/>
      <c r="BG82" s="52"/>
      <c r="BH82" s="47"/>
      <c r="BI82" s="72"/>
      <c r="BJ82" s="72"/>
      <c r="BK82" s="72"/>
      <c r="BL82" s="72"/>
      <c r="BM82" s="72"/>
      <c r="BN82" s="52"/>
      <c r="BO82" s="47"/>
      <c r="BP82" s="72"/>
      <c r="BQ82" s="72"/>
      <c r="BR82" s="72"/>
      <c r="BS82" s="72"/>
      <c r="BT82" s="72"/>
      <c r="BU82" s="52"/>
      <c r="BV82" s="47"/>
      <c r="BW82" s="72"/>
      <c r="BX82" s="72"/>
      <c r="BY82" s="72"/>
      <c r="BZ82" s="72"/>
      <c r="CA82" s="72"/>
      <c r="CB82" s="52"/>
      <c r="CC82" s="47"/>
      <c r="CD82" s="72"/>
      <c r="CE82" s="72"/>
      <c r="CF82" s="72"/>
      <c r="CG82" s="72"/>
      <c r="CH82" s="72"/>
      <c r="CI82" s="52"/>
      <c r="CJ82" s="47"/>
      <c r="CK82" s="72"/>
      <c r="CL82" s="72"/>
      <c r="CM82" s="72"/>
      <c r="CN82" s="72"/>
      <c r="CO82" s="72"/>
      <c r="CP82" s="303">
        <f>SUM(J82+Q82+X82+AE82+AL82+AS82+AZ82+BG82+BN82+BU82+CB82+CI82)</f>
        <v>145</v>
      </c>
    </row>
    <row r="83" spans="2:95" ht="21" customHeight="1">
      <c r="B83" s="1012"/>
      <c r="C83" s="504" t="s">
        <v>391</v>
      </c>
      <c r="E83" s="72"/>
      <c r="F83" s="72"/>
      <c r="G83" s="72"/>
      <c r="H83" s="72"/>
      <c r="I83" s="72"/>
      <c r="J83" s="52">
        <v>306</v>
      </c>
      <c r="K83" s="47"/>
      <c r="L83" s="72"/>
      <c r="M83" s="72"/>
      <c r="N83" s="72"/>
      <c r="O83" s="72"/>
      <c r="P83" s="72"/>
      <c r="Q83" s="52">
        <v>392</v>
      </c>
      <c r="R83" s="47"/>
      <c r="S83" s="72"/>
      <c r="T83" s="72"/>
      <c r="U83" s="72"/>
      <c r="V83" s="72"/>
      <c r="W83" s="72"/>
      <c r="X83" s="52">
        <v>345</v>
      </c>
      <c r="Y83" s="47"/>
      <c r="Z83" s="72"/>
      <c r="AA83" s="72"/>
      <c r="AB83" s="72"/>
      <c r="AC83" s="72"/>
      <c r="AD83" s="72"/>
      <c r="AE83" s="52">
        <v>276</v>
      </c>
      <c r="AF83" s="47"/>
      <c r="AG83" s="72"/>
      <c r="AH83" s="72"/>
      <c r="AI83" s="72"/>
      <c r="AJ83" s="72"/>
      <c r="AK83" s="72"/>
      <c r="AL83" s="52">
        <v>307</v>
      </c>
      <c r="AM83" s="47"/>
      <c r="AN83" s="72"/>
      <c r="AO83" s="72"/>
      <c r="AP83" s="72"/>
      <c r="AQ83" s="72"/>
      <c r="AR83" s="72"/>
      <c r="AS83" s="52">
        <v>289</v>
      </c>
      <c r="AT83" s="47"/>
      <c r="AU83" s="72"/>
      <c r="AV83" s="72"/>
      <c r="AW83" s="72"/>
      <c r="AX83" s="72"/>
      <c r="AY83" s="72"/>
      <c r="AZ83" s="52"/>
      <c r="BA83" s="47"/>
      <c r="BB83" s="72"/>
      <c r="BC83" s="72"/>
      <c r="BD83" s="72"/>
      <c r="BE83" s="72"/>
      <c r="BF83" s="72"/>
      <c r="BG83" s="52"/>
      <c r="BH83" s="47"/>
      <c r="BI83" s="72"/>
      <c r="BJ83" s="72"/>
      <c r="BK83" s="72"/>
      <c r="BL83" s="72"/>
      <c r="BM83" s="72"/>
      <c r="BN83" s="52"/>
      <c r="BO83" s="47"/>
      <c r="BP83" s="72"/>
      <c r="BQ83" s="72"/>
      <c r="BR83" s="72"/>
      <c r="BS83" s="72"/>
      <c r="BT83" s="72"/>
      <c r="BU83" s="52"/>
      <c r="BV83" s="47"/>
      <c r="BW83" s="72"/>
      <c r="BX83" s="72"/>
      <c r="BY83" s="72"/>
      <c r="BZ83" s="72"/>
      <c r="CA83" s="72"/>
      <c r="CB83" s="52"/>
      <c r="CC83" s="47"/>
      <c r="CD83" s="72"/>
      <c r="CE83" s="72"/>
      <c r="CF83" s="72"/>
      <c r="CG83" s="72"/>
      <c r="CH83" s="72"/>
      <c r="CI83" s="52"/>
      <c r="CJ83" s="47"/>
      <c r="CK83" s="72"/>
      <c r="CL83" s="72"/>
      <c r="CM83" s="72"/>
      <c r="CN83" s="72"/>
      <c r="CO83" s="72"/>
      <c r="CP83" s="303">
        <f>SUM(J83+Q83+X83+AE83+AL83+AS83+AZ83+BG83+BN83+BU83+CB83+CI83)</f>
        <v>1915</v>
      </c>
    </row>
    <row r="84" spans="2:95" ht="21" customHeight="1">
      <c r="B84" s="1012"/>
      <c r="C84" s="504" t="s">
        <v>392</v>
      </c>
      <c r="E84" s="72"/>
      <c r="F84" s="72"/>
      <c r="G84" s="72"/>
      <c r="H84" s="72"/>
      <c r="I84" s="72"/>
      <c r="J84" s="52">
        <v>23</v>
      </c>
      <c r="K84" s="47"/>
      <c r="L84" s="72"/>
      <c r="M84" s="72"/>
      <c r="N84" s="72"/>
      <c r="O84" s="72"/>
      <c r="P84" s="72"/>
      <c r="Q84" s="52">
        <v>44</v>
      </c>
      <c r="R84" s="47"/>
      <c r="S84" s="72"/>
      <c r="T84" s="72"/>
      <c r="U84" s="72"/>
      <c r="V84" s="72"/>
      <c r="W84" s="72"/>
      <c r="X84" s="52">
        <v>32</v>
      </c>
      <c r="Y84" s="47"/>
      <c r="Z84" s="72"/>
      <c r="AA84" s="72"/>
      <c r="AB84" s="72"/>
      <c r="AC84" s="72"/>
      <c r="AD84" s="72"/>
      <c r="AE84" s="52">
        <v>31</v>
      </c>
      <c r="AF84" s="47"/>
      <c r="AG84" s="72"/>
      <c r="AH84" s="72"/>
      <c r="AI84" s="72"/>
      <c r="AJ84" s="72"/>
      <c r="AK84" s="72"/>
      <c r="AL84" s="52">
        <v>40</v>
      </c>
      <c r="AM84" s="47"/>
      <c r="AN84" s="72"/>
      <c r="AO84" s="72"/>
      <c r="AP84" s="72"/>
      <c r="AQ84" s="72"/>
      <c r="AR84" s="72"/>
      <c r="AS84" s="52">
        <v>30</v>
      </c>
      <c r="AT84" s="47"/>
      <c r="AU84" s="72"/>
      <c r="AV84" s="72"/>
      <c r="AW84" s="72"/>
      <c r="AX84" s="72"/>
      <c r="AY84" s="72"/>
      <c r="AZ84" s="52"/>
      <c r="BA84" s="47"/>
      <c r="BB84" s="72"/>
      <c r="BC84" s="72"/>
      <c r="BD84" s="72"/>
      <c r="BE84" s="72"/>
      <c r="BF84" s="72"/>
      <c r="BG84" s="52"/>
      <c r="BH84" s="47"/>
      <c r="BI84" s="72"/>
      <c r="BJ84" s="72"/>
      <c r="BK84" s="72"/>
      <c r="BL84" s="72"/>
      <c r="BM84" s="72"/>
      <c r="BN84" s="52"/>
      <c r="BO84" s="47"/>
      <c r="BP84" s="72"/>
      <c r="BQ84" s="72"/>
      <c r="BR84" s="72"/>
      <c r="BS84" s="72"/>
      <c r="BT84" s="72"/>
      <c r="BU84" s="52"/>
      <c r="BV84" s="47"/>
      <c r="BW84" s="72"/>
      <c r="BX84" s="72"/>
      <c r="BY84" s="72"/>
      <c r="BZ84" s="72"/>
      <c r="CA84" s="72"/>
      <c r="CB84" s="52"/>
      <c r="CC84" s="47"/>
      <c r="CD84" s="72"/>
      <c r="CE84" s="72"/>
      <c r="CF84" s="72"/>
      <c r="CG84" s="72"/>
      <c r="CH84" s="72"/>
      <c r="CI84" s="52"/>
      <c r="CJ84" s="47"/>
      <c r="CK84" s="72"/>
      <c r="CL84" s="72"/>
      <c r="CM84" s="72"/>
      <c r="CN84" s="72"/>
      <c r="CO84" s="72"/>
      <c r="CP84" s="303">
        <f>SUM(J84+Q84+X84+AE84+AL84+AS84+AZ84+BG84+BN84+BU84+CB84+CI84)</f>
        <v>200</v>
      </c>
    </row>
    <row r="85" spans="2:95" ht="21" customHeight="1">
      <c r="B85" s="1012"/>
      <c r="C85" s="505" t="s">
        <v>442</v>
      </c>
      <c r="E85" s="72"/>
      <c r="F85" s="72"/>
      <c r="G85" s="72"/>
      <c r="H85" s="72"/>
      <c r="I85" s="72"/>
      <c r="J85" s="52">
        <v>3070</v>
      </c>
      <c r="L85" s="72"/>
      <c r="M85" s="72"/>
      <c r="N85" s="72"/>
      <c r="O85" s="72"/>
      <c r="P85" s="72"/>
      <c r="Q85" s="52">
        <v>3132</v>
      </c>
      <c r="S85" s="72"/>
      <c r="T85" s="72"/>
      <c r="U85" s="72"/>
      <c r="V85" s="72"/>
      <c r="W85" s="72"/>
      <c r="X85" s="52">
        <v>2980</v>
      </c>
      <c r="Z85" s="72"/>
      <c r="AA85" s="72"/>
      <c r="AB85" s="72"/>
      <c r="AC85" s="72"/>
      <c r="AD85" s="72"/>
      <c r="AE85" s="52">
        <v>3272</v>
      </c>
      <c r="AG85" s="72"/>
      <c r="AH85" s="72"/>
      <c r="AI85" s="72"/>
      <c r="AJ85" s="72"/>
      <c r="AK85" s="72"/>
      <c r="AL85" s="52">
        <v>2598</v>
      </c>
      <c r="AN85" s="72"/>
      <c r="AO85" s="72"/>
      <c r="AP85" s="72"/>
      <c r="AQ85" s="72"/>
      <c r="AR85" s="72"/>
      <c r="AS85" s="52">
        <v>2699</v>
      </c>
      <c r="AU85" s="72"/>
      <c r="AV85" s="72"/>
      <c r="AW85" s="72"/>
      <c r="AX85" s="72"/>
      <c r="AY85" s="72"/>
      <c r="AZ85" s="52"/>
      <c r="BB85" s="72"/>
      <c r="BC85" s="72"/>
      <c r="BD85" s="72"/>
      <c r="BE85" s="72"/>
      <c r="BF85" s="72"/>
      <c r="BG85" s="52"/>
      <c r="BI85" s="72"/>
      <c r="BJ85" s="72"/>
      <c r="BK85" s="72"/>
      <c r="BL85" s="72"/>
      <c r="BM85" s="72"/>
      <c r="BN85" s="52"/>
      <c r="BP85" s="72"/>
      <c r="BQ85" s="72"/>
      <c r="BR85" s="72"/>
      <c r="BS85" s="72"/>
      <c r="BT85" s="72"/>
      <c r="BU85" s="52"/>
      <c r="BW85" s="72"/>
      <c r="BX85" s="72"/>
      <c r="BY85" s="72"/>
      <c r="BZ85" s="72"/>
      <c r="CA85" s="72"/>
      <c r="CB85" s="52"/>
      <c r="CD85" s="72"/>
      <c r="CE85" s="72"/>
      <c r="CF85" s="72"/>
      <c r="CG85" s="72"/>
      <c r="CH85" s="72"/>
      <c r="CI85" s="52"/>
      <c r="CK85" s="72"/>
      <c r="CL85" s="72"/>
      <c r="CM85" s="72"/>
      <c r="CN85" s="72"/>
      <c r="CO85" s="72"/>
      <c r="CP85" s="303">
        <f t="shared" ref="CP85:CP100" si="64">SUM(J85+Q85+X85+AE85+AL85+AS85+AZ85+BG85+BN85+BU85+CB85+CI85)</f>
        <v>17751</v>
      </c>
    </row>
    <row r="86" spans="2:95" ht="21" customHeight="1">
      <c r="B86" s="1012"/>
      <c r="C86" s="505" t="s">
        <v>443</v>
      </c>
      <c r="E86" s="72"/>
      <c r="F86" s="72"/>
      <c r="G86" s="72"/>
      <c r="H86" s="72"/>
      <c r="I86" s="72"/>
      <c r="J86" s="52">
        <v>215</v>
      </c>
      <c r="L86" s="72"/>
      <c r="M86" s="72"/>
      <c r="N86" s="72"/>
      <c r="O86" s="72"/>
      <c r="P86" s="72"/>
      <c r="Q86" s="52">
        <v>214</v>
      </c>
      <c r="S86" s="72"/>
      <c r="T86" s="72"/>
      <c r="U86" s="72"/>
      <c r="V86" s="72"/>
      <c r="W86" s="72"/>
      <c r="X86" s="52">
        <v>200</v>
      </c>
      <c r="Z86" s="72"/>
      <c r="AA86" s="72"/>
      <c r="AB86" s="72"/>
      <c r="AC86" s="72"/>
      <c r="AD86" s="72"/>
      <c r="AE86" s="52">
        <v>221</v>
      </c>
      <c r="AG86" s="72"/>
      <c r="AH86" s="72"/>
      <c r="AI86" s="72"/>
      <c r="AJ86" s="72"/>
      <c r="AK86" s="72"/>
      <c r="AL86" s="52">
        <v>182</v>
      </c>
      <c r="AN86" s="72"/>
      <c r="AO86" s="72"/>
      <c r="AP86" s="72"/>
      <c r="AQ86" s="72"/>
      <c r="AR86" s="72"/>
      <c r="AS86" s="52">
        <v>190</v>
      </c>
      <c r="AU86" s="72"/>
      <c r="AV86" s="72"/>
      <c r="AW86" s="72"/>
      <c r="AX86" s="72"/>
      <c r="AY86" s="72"/>
      <c r="AZ86" s="52"/>
      <c r="BB86" s="72"/>
      <c r="BC86" s="72"/>
      <c r="BD86" s="72"/>
      <c r="BE86" s="72"/>
      <c r="BF86" s="72"/>
      <c r="BG86" s="52"/>
      <c r="BI86" s="72"/>
      <c r="BJ86" s="72"/>
      <c r="BK86" s="72"/>
      <c r="BL86" s="72"/>
      <c r="BM86" s="72"/>
      <c r="BN86" s="52"/>
      <c r="BP86" s="72"/>
      <c r="BQ86" s="72"/>
      <c r="BR86" s="72"/>
      <c r="BS86" s="72"/>
      <c r="BT86" s="72"/>
      <c r="BU86" s="52"/>
      <c r="BW86" s="72"/>
      <c r="BX86" s="72"/>
      <c r="BY86" s="72"/>
      <c r="BZ86" s="72"/>
      <c r="CA86" s="72"/>
      <c r="CB86" s="52"/>
      <c r="CD86" s="72"/>
      <c r="CE86" s="72"/>
      <c r="CF86" s="72"/>
      <c r="CG86" s="72"/>
      <c r="CH86" s="72"/>
      <c r="CI86" s="52"/>
      <c r="CK86" s="72"/>
      <c r="CL86" s="72"/>
      <c r="CM86" s="72"/>
      <c r="CN86" s="72"/>
      <c r="CO86" s="72"/>
      <c r="CP86" s="303">
        <f t="shared" si="64"/>
        <v>1222</v>
      </c>
    </row>
    <row r="87" spans="2:95" ht="21" customHeight="1">
      <c r="B87" s="1012"/>
      <c r="C87" s="505" t="s">
        <v>444</v>
      </c>
      <c r="E87" s="72"/>
      <c r="F87" s="72"/>
      <c r="G87" s="72"/>
      <c r="H87" s="72"/>
      <c r="I87" s="72"/>
      <c r="J87" s="52">
        <v>844</v>
      </c>
      <c r="L87" s="72"/>
      <c r="M87" s="72"/>
      <c r="N87" s="72"/>
      <c r="O87" s="72"/>
      <c r="P87" s="72"/>
      <c r="Q87" s="52">
        <v>843</v>
      </c>
      <c r="S87" s="72"/>
      <c r="T87" s="72"/>
      <c r="U87" s="72"/>
      <c r="V87" s="72"/>
      <c r="W87" s="72"/>
      <c r="X87" s="52">
        <v>835</v>
      </c>
      <c r="Z87" s="72"/>
      <c r="AA87" s="72"/>
      <c r="AB87" s="72"/>
      <c r="AC87" s="72"/>
      <c r="AD87" s="72"/>
      <c r="AE87" s="52">
        <v>837</v>
      </c>
      <c r="AG87" s="72"/>
      <c r="AH87" s="72"/>
      <c r="AI87" s="72"/>
      <c r="AJ87" s="72"/>
      <c r="AK87" s="72"/>
      <c r="AL87" s="52">
        <v>635</v>
      </c>
      <c r="AN87" s="72"/>
      <c r="AO87" s="72"/>
      <c r="AP87" s="72"/>
      <c r="AQ87" s="72"/>
      <c r="AR87" s="72"/>
      <c r="AS87" s="52">
        <v>668</v>
      </c>
      <c r="AU87" s="72"/>
      <c r="AV87" s="72"/>
      <c r="AW87" s="72"/>
      <c r="AX87" s="72"/>
      <c r="AY87" s="72"/>
      <c r="AZ87" s="52"/>
      <c r="BB87" s="72"/>
      <c r="BC87" s="72"/>
      <c r="BD87" s="72"/>
      <c r="BE87" s="72"/>
      <c r="BF87" s="72"/>
      <c r="BG87" s="52"/>
      <c r="BI87" s="72"/>
      <c r="BJ87" s="72"/>
      <c r="BK87" s="72"/>
      <c r="BL87" s="72"/>
      <c r="BM87" s="72"/>
      <c r="BN87" s="52"/>
      <c r="BP87" s="72"/>
      <c r="BQ87" s="72"/>
      <c r="BR87" s="72"/>
      <c r="BS87" s="72"/>
      <c r="BT87" s="72"/>
      <c r="BU87" s="52"/>
      <c r="BW87" s="72"/>
      <c r="BX87" s="72"/>
      <c r="BY87" s="72"/>
      <c r="BZ87" s="72"/>
      <c r="CA87" s="72"/>
      <c r="CB87" s="52"/>
      <c r="CD87" s="72"/>
      <c r="CE87" s="72"/>
      <c r="CF87" s="72"/>
      <c r="CG87" s="72"/>
      <c r="CH87" s="72"/>
      <c r="CI87" s="52"/>
      <c r="CK87" s="72"/>
      <c r="CL87" s="72"/>
      <c r="CM87" s="72"/>
      <c r="CN87" s="72"/>
      <c r="CO87" s="72"/>
      <c r="CP87" s="303">
        <f t="shared" si="64"/>
        <v>4662</v>
      </c>
    </row>
    <row r="88" spans="2:95" ht="21" customHeight="1">
      <c r="B88" s="1012"/>
      <c r="C88" s="505" t="s">
        <v>445</v>
      </c>
      <c r="E88" s="72"/>
      <c r="F88" s="72"/>
      <c r="G88" s="72"/>
      <c r="H88" s="72"/>
      <c r="I88" s="72"/>
      <c r="J88" s="52">
        <v>205</v>
      </c>
      <c r="L88" s="72"/>
      <c r="M88" s="72"/>
      <c r="N88" s="72"/>
      <c r="O88" s="72"/>
      <c r="P88" s="72"/>
      <c r="Q88" s="52">
        <v>257</v>
      </c>
      <c r="S88" s="72"/>
      <c r="T88" s="72"/>
      <c r="U88" s="72"/>
      <c r="V88" s="72"/>
      <c r="W88" s="72"/>
      <c r="X88" s="52">
        <v>176</v>
      </c>
      <c r="Z88" s="72"/>
      <c r="AA88" s="72"/>
      <c r="AB88" s="72"/>
      <c r="AC88" s="72"/>
      <c r="AD88" s="72"/>
      <c r="AE88" s="52">
        <v>285</v>
      </c>
      <c r="AG88" s="72"/>
      <c r="AH88" s="72"/>
      <c r="AI88" s="72"/>
      <c r="AJ88" s="72"/>
      <c r="AK88" s="72"/>
      <c r="AL88" s="52">
        <v>195</v>
      </c>
      <c r="AN88" s="72"/>
      <c r="AO88" s="72"/>
      <c r="AP88" s="72"/>
      <c r="AQ88" s="72"/>
      <c r="AR88" s="72"/>
      <c r="AS88" s="52">
        <v>227</v>
      </c>
      <c r="AU88" s="72"/>
      <c r="AV88" s="72"/>
      <c r="AW88" s="72"/>
      <c r="AX88" s="72"/>
      <c r="AY88" s="72"/>
      <c r="AZ88" s="52"/>
      <c r="BB88" s="72"/>
      <c r="BC88" s="72"/>
      <c r="BD88" s="72"/>
      <c r="BE88" s="72"/>
      <c r="BF88" s="72"/>
      <c r="BG88" s="52"/>
      <c r="BI88" s="72"/>
      <c r="BJ88" s="72"/>
      <c r="BK88" s="72"/>
      <c r="BL88" s="72"/>
      <c r="BM88" s="72"/>
      <c r="BN88" s="52"/>
      <c r="BP88" s="72"/>
      <c r="BQ88" s="72"/>
      <c r="BR88" s="72"/>
      <c r="BS88" s="72"/>
      <c r="BT88" s="72"/>
      <c r="BU88" s="52"/>
      <c r="BW88" s="72"/>
      <c r="BX88" s="72"/>
      <c r="BY88" s="72"/>
      <c r="BZ88" s="72"/>
      <c r="CA88" s="72"/>
      <c r="CB88" s="52"/>
      <c r="CD88" s="72"/>
      <c r="CE88" s="72"/>
      <c r="CF88" s="72"/>
      <c r="CG88" s="72"/>
      <c r="CH88" s="72"/>
      <c r="CI88" s="52"/>
      <c r="CK88" s="72"/>
      <c r="CL88" s="72"/>
      <c r="CM88" s="72"/>
      <c r="CN88" s="72"/>
      <c r="CO88" s="72"/>
      <c r="CP88" s="303">
        <f t="shared" si="64"/>
        <v>1345</v>
      </c>
    </row>
    <row r="89" spans="2:95" ht="21" customHeight="1">
      <c r="B89" s="1012"/>
      <c r="C89" s="505" t="s">
        <v>446</v>
      </c>
      <c r="E89" s="72"/>
      <c r="F89" s="72"/>
      <c r="G89" s="72"/>
      <c r="H89" s="72"/>
      <c r="I89" s="72"/>
      <c r="J89" s="52">
        <v>881</v>
      </c>
      <c r="L89" s="72"/>
      <c r="M89" s="72"/>
      <c r="N89" s="72"/>
      <c r="O89" s="72"/>
      <c r="P89" s="72"/>
      <c r="Q89" s="52">
        <v>857</v>
      </c>
      <c r="S89" s="72"/>
      <c r="T89" s="72"/>
      <c r="U89" s="72"/>
      <c r="V89" s="72"/>
      <c r="W89" s="72"/>
      <c r="X89" s="52">
        <v>792</v>
      </c>
      <c r="Z89" s="72"/>
      <c r="AA89" s="72"/>
      <c r="AB89" s="72"/>
      <c r="AC89" s="72"/>
      <c r="AD89" s="72"/>
      <c r="AE89" s="52">
        <v>902</v>
      </c>
      <c r="AG89" s="72"/>
      <c r="AH89" s="72"/>
      <c r="AI89" s="72"/>
      <c r="AJ89" s="72"/>
      <c r="AK89" s="72"/>
      <c r="AL89" s="52">
        <v>770</v>
      </c>
      <c r="AN89" s="72"/>
      <c r="AO89" s="72"/>
      <c r="AP89" s="72"/>
      <c r="AQ89" s="72"/>
      <c r="AR89" s="72"/>
      <c r="AS89" s="52">
        <v>809</v>
      </c>
      <c r="AU89" s="72"/>
      <c r="AV89" s="72"/>
      <c r="AW89" s="72"/>
      <c r="AX89" s="72"/>
      <c r="AY89" s="72"/>
      <c r="AZ89" s="52"/>
      <c r="BB89" s="72"/>
      <c r="BC89" s="72"/>
      <c r="BD89" s="72"/>
      <c r="BE89" s="72"/>
      <c r="BF89" s="72"/>
      <c r="BG89" s="52"/>
      <c r="BI89" s="72"/>
      <c r="BJ89" s="72"/>
      <c r="BK89" s="72"/>
      <c r="BL89" s="72"/>
      <c r="BM89" s="72"/>
      <c r="BN89" s="52"/>
      <c r="BP89" s="72"/>
      <c r="BQ89" s="72"/>
      <c r="BR89" s="72"/>
      <c r="BS89" s="72"/>
      <c r="BT89" s="72"/>
      <c r="BU89" s="52"/>
      <c r="BW89" s="72"/>
      <c r="BX89" s="72"/>
      <c r="BY89" s="72"/>
      <c r="BZ89" s="72"/>
      <c r="CA89" s="72"/>
      <c r="CB89" s="52"/>
      <c r="CD89" s="72"/>
      <c r="CE89" s="72"/>
      <c r="CF89" s="72"/>
      <c r="CG89" s="72"/>
      <c r="CH89" s="72"/>
      <c r="CI89" s="52"/>
      <c r="CK89" s="72"/>
      <c r="CL89" s="72"/>
      <c r="CM89" s="72"/>
      <c r="CN89" s="72"/>
      <c r="CO89" s="72"/>
      <c r="CP89" s="303">
        <f t="shared" si="64"/>
        <v>5011</v>
      </c>
    </row>
    <row r="90" spans="2:95" ht="21" customHeight="1">
      <c r="B90" s="1012"/>
      <c r="C90" s="505" t="s">
        <v>447</v>
      </c>
      <c r="E90" s="72"/>
      <c r="F90" s="72"/>
      <c r="G90" s="72"/>
      <c r="H90" s="72"/>
      <c r="I90" s="72"/>
      <c r="J90" s="52">
        <v>664</v>
      </c>
      <c r="L90" s="72"/>
      <c r="M90" s="72"/>
      <c r="N90" s="72"/>
      <c r="O90" s="72"/>
      <c r="P90" s="72"/>
      <c r="Q90" s="52">
        <v>711</v>
      </c>
      <c r="S90" s="72"/>
      <c r="T90" s="72"/>
      <c r="U90" s="72"/>
      <c r="V90" s="72"/>
      <c r="W90" s="72"/>
      <c r="X90" s="52">
        <v>647</v>
      </c>
      <c r="Z90" s="72"/>
      <c r="AA90" s="72"/>
      <c r="AB90" s="72"/>
      <c r="AC90" s="72"/>
      <c r="AD90" s="72"/>
      <c r="AE90" s="52">
        <v>736</v>
      </c>
      <c r="AG90" s="72"/>
      <c r="AH90" s="72"/>
      <c r="AI90" s="72"/>
      <c r="AJ90" s="72"/>
      <c r="AK90" s="72"/>
      <c r="AL90" s="52">
        <v>735</v>
      </c>
      <c r="AN90" s="72"/>
      <c r="AO90" s="72"/>
      <c r="AP90" s="72"/>
      <c r="AQ90" s="72"/>
      <c r="AR90" s="72"/>
      <c r="AS90" s="52">
        <v>742</v>
      </c>
      <c r="AU90" s="72"/>
      <c r="AV90" s="72"/>
      <c r="AW90" s="72"/>
      <c r="AX90" s="72"/>
      <c r="AY90" s="72"/>
      <c r="AZ90" s="52"/>
      <c r="BB90" s="72"/>
      <c r="BC90" s="72"/>
      <c r="BD90" s="72"/>
      <c r="BE90" s="72"/>
      <c r="BF90" s="72"/>
      <c r="BG90" s="52"/>
      <c r="BI90" s="72"/>
      <c r="BJ90" s="72"/>
      <c r="BK90" s="72"/>
      <c r="BL90" s="72"/>
      <c r="BM90" s="72"/>
      <c r="BN90" s="52"/>
      <c r="BP90" s="72"/>
      <c r="BQ90" s="72"/>
      <c r="BR90" s="72"/>
      <c r="BS90" s="72"/>
      <c r="BT90" s="72"/>
      <c r="BU90" s="52"/>
      <c r="BW90" s="72"/>
      <c r="BX90" s="72"/>
      <c r="BY90" s="72"/>
      <c r="BZ90" s="72"/>
      <c r="CA90" s="72"/>
      <c r="CB90" s="52"/>
      <c r="CD90" s="72"/>
      <c r="CE90" s="72"/>
      <c r="CF90" s="72"/>
      <c r="CG90" s="72"/>
      <c r="CH90" s="72"/>
      <c r="CI90" s="52"/>
      <c r="CK90" s="72"/>
      <c r="CL90" s="72"/>
      <c r="CM90" s="72"/>
      <c r="CN90" s="72"/>
      <c r="CO90" s="72"/>
      <c r="CP90" s="303">
        <f t="shared" si="64"/>
        <v>4235</v>
      </c>
    </row>
    <row r="91" spans="2:95" ht="21" customHeight="1">
      <c r="B91" s="1012"/>
      <c r="C91" s="505" t="s">
        <v>448</v>
      </c>
      <c r="E91" s="72"/>
      <c r="F91" s="72"/>
      <c r="G91" s="72"/>
      <c r="H91" s="72"/>
      <c r="I91" s="72"/>
      <c r="J91" s="52">
        <v>3190</v>
      </c>
      <c r="L91" s="72"/>
      <c r="M91" s="72"/>
      <c r="N91" s="72"/>
      <c r="O91" s="72"/>
      <c r="P91" s="72"/>
      <c r="Q91" s="52">
        <v>3304</v>
      </c>
      <c r="S91" s="72"/>
      <c r="T91" s="72"/>
      <c r="U91" s="72"/>
      <c r="V91" s="72"/>
      <c r="W91" s="72"/>
      <c r="X91" s="52">
        <v>2828</v>
      </c>
      <c r="Z91" s="72"/>
      <c r="AA91" s="72"/>
      <c r="AB91" s="72"/>
      <c r="AC91" s="72"/>
      <c r="AD91" s="72"/>
      <c r="AE91" s="52">
        <v>3216</v>
      </c>
      <c r="AG91" s="72"/>
      <c r="AH91" s="72"/>
      <c r="AI91" s="72"/>
      <c r="AJ91" s="72"/>
      <c r="AK91" s="72"/>
      <c r="AL91" s="52">
        <v>2853</v>
      </c>
      <c r="AN91" s="72"/>
      <c r="AO91" s="72"/>
      <c r="AP91" s="72"/>
      <c r="AQ91" s="72"/>
      <c r="AR91" s="72"/>
      <c r="AS91" s="52">
        <v>2540</v>
      </c>
      <c r="AU91" s="72"/>
      <c r="AV91" s="72"/>
      <c r="AW91" s="72"/>
      <c r="AX91" s="72"/>
      <c r="AY91" s="72"/>
      <c r="AZ91" s="52"/>
      <c r="BB91" s="72"/>
      <c r="BC91" s="72"/>
      <c r="BD91" s="72"/>
      <c r="BE91" s="72"/>
      <c r="BF91" s="72"/>
      <c r="BG91" s="52"/>
      <c r="BI91" s="72"/>
      <c r="BJ91" s="72"/>
      <c r="BK91" s="72"/>
      <c r="BL91" s="72"/>
      <c r="BM91" s="72"/>
      <c r="BN91" s="52"/>
      <c r="BP91" s="72"/>
      <c r="BQ91" s="72"/>
      <c r="BR91" s="72"/>
      <c r="BS91" s="72"/>
      <c r="BT91" s="72"/>
      <c r="BU91" s="52"/>
      <c r="BW91" s="72"/>
      <c r="BX91" s="72"/>
      <c r="BY91" s="72"/>
      <c r="BZ91" s="72"/>
      <c r="CA91" s="72"/>
      <c r="CB91" s="52"/>
      <c r="CD91" s="72"/>
      <c r="CE91" s="72"/>
      <c r="CF91" s="72"/>
      <c r="CG91" s="72"/>
      <c r="CH91" s="72"/>
      <c r="CI91" s="52"/>
      <c r="CK91" s="72"/>
      <c r="CL91" s="72"/>
      <c r="CM91" s="72"/>
      <c r="CN91" s="72"/>
      <c r="CO91" s="72"/>
      <c r="CP91" s="303">
        <f t="shared" si="64"/>
        <v>17931</v>
      </c>
    </row>
    <row r="92" spans="2:95" ht="21" customHeight="1">
      <c r="B92" s="1012"/>
      <c r="C92" s="505" t="s">
        <v>449</v>
      </c>
      <c r="E92" s="72"/>
      <c r="F92" s="72"/>
      <c r="G92" s="72"/>
      <c r="H92" s="72"/>
      <c r="I92" s="72"/>
      <c r="J92" s="52">
        <v>3884</v>
      </c>
      <c r="L92" s="72"/>
      <c r="M92" s="72"/>
      <c r="N92" s="72"/>
      <c r="O92" s="72"/>
      <c r="P92" s="72"/>
      <c r="Q92" s="52">
        <v>3877</v>
      </c>
      <c r="S92" s="72"/>
      <c r="T92" s="72"/>
      <c r="U92" s="72"/>
      <c r="V92" s="72"/>
      <c r="W92" s="72"/>
      <c r="X92" s="52">
        <v>3729</v>
      </c>
      <c r="Z92" s="72"/>
      <c r="AA92" s="72"/>
      <c r="AB92" s="72"/>
      <c r="AC92" s="72"/>
      <c r="AD92" s="72"/>
      <c r="AE92" s="52">
        <v>4058</v>
      </c>
      <c r="AG92" s="72"/>
      <c r="AH92" s="72"/>
      <c r="AI92" s="72"/>
      <c r="AJ92" s="72"/>
      <c r="AK92" s="72"/>
      <c r="AL92" s="52">
        <v>3380</v>
      </c>
      <c r="AN92" s="72"/>
      <c r="AO92" s="72"/>
      <c r="AP92" s="72"/>
      <c r="AQ92" s="72"/>
      <c r="AR92" s="72"/>
      <c r="AS92" s="52">
        <v>3470</v>
      </c>
      <c r="AU92" s="72"/>
      <c r="AV92" s="72"/>
      <c r="AW92" s="72"/>
      <c r="AX92" s="72"/>
      <c r="AY92" s="72"/>
      <c r="AZ92" s="52"/>
      <c r="BB92" s="72"/>
      <c r="BC92" s="72"/>
      <c r="BD92" s="72"/>
      <c r="BE92" s="72"/>
      <c r="BF92" s="72"/>
      <c r="BG92" s="52"/>
      <c r="BI92" s="72"/>
      <c r="BJ92" s="72"/>
      <c r="BK92" s="72"/>
      <c r="BL92" s="72"/>
      <c r="BM92" s="72"/>
      <c r="BN92" s="52"/>
      <c r="BP92" s="72"/>
      <c r="BQ92" s="72"/>
      <c r="BR92" s="72"/>
      <c r="BS92" s="72"/>
      <c r="BT92" s="72"/>
      <c r="BU92" s="52"/>
      <c r="BW92" s="72"/>
      <c r="BX92" s="72"/>
      <c r="BY92" s="72"/>
      <c r="BZ92" s="72"/>
      <c r="CA92" s="72"/>
      <c r="CB92" s="52"/>
      <c r="CD92" s="72"/>
      <c r="CE92" s="72"/>
      <c r="CF92" s="72"/>
      <c r="CG92" s="72"/>
      <c r="CH92" s="72"/>
      <c r="CI92" s="52"/>
      <c r="CK92" s="72"/>
      <c r="CL92" s="72"/>
      <c r="CM92" s="72"/>
      <c r="CN92" s="72"/>
      <c r="CO92" s="72"/>
      <c r="CP92" s="303">
        <f t="shared" si="64"/>
        <v>22398</v>
      </c>
    </row>
    <row r="93" spans="2:95" ht="21" customHeight="1">
      <c r="B93" s="1012"/>
      <c r="C93" s="505" t="s">
        <v>450</v>
      </c>
      <c r="E93" s="72"/>
      <c r="F93" s="72"/>
      <c r="G93" s="72"/>
      <c r="H93" s="72"/>
      <c r="I93" s="72"/>
      <c r="J93" s="52">
        <v>451</v>
      </c>
      <c r="L93" s="72"/>
      <c r="M93" s="72"/>
      <c r="N93" s="72"/>
      <c r="O93" s="72"/>
      <c r="P93" s="72"/>
      <c r="Q93" s="52">
        <v>848</v>
      </c>
      <c r="S93" s="72"/>
      <c r="T93" s="72"/>
      <c r="U93" s="72"/>
      <c r="V93" s="72"/>
      <c r="W93" s="72"/>
      <c r="X93" s="52">
        <v>537</v>
      </c>
      <c r="Z93" s="72"/>
      <c r="AA93" s="72"/>
      <c r="AB93" s="72"/>
      <c r="AC93" s="72"/>
      <c r="AD93" s="72"/>
      <c r="AE93" s="52">
        <v>945</v>
      </c>
      <c r="AG93" s="72"/>
      <c r="AH93" s="72"/>
      <c r="AI93" s="72"/>
      <c r="AJ93" s="72"/>
      <c r="AK93" s="72"/>
      <c r="AL93" s="52">
        <v>684</v>
      </c>
      <c r="AN93" s="72"/>
      <c r="AO93" s="72"/>
      <c r="AP93" s="72"/>
      <c r="AQ93" s="72"/>
      <c r="AR93" s="72"/>
      <c r="AS93" s="52">
        <v>538</v>
      </c>
      <c r="AU93" s="72"/>
      <c r="AV93" s="72"/>
      <c r="AW93" s="72"/>
      <c r="AX93" s="72"/>
      <c r="AY93" s="72"/>
      <c r="AZ93" s="52"/>
      <c r="BB93" s="72"/>
      <c r="BC93" s="72"/>
      <c r="BD93" s="72"/>
      <c r="BE93" s="72"/>
      <c r="BF93" s="72"/>
      <c r="BG93" s="52"/>
      <c r="BI93" s="72"/>
      <c r="BJ93" s="72"/>
      <c r="BK93" s="72"/>
      <c r="BL93" s="72"/>
      <c r="BM93" s="72"/>
      <c r="BN93" s="52"/>
      <c r="BP93" s="72"/>
      <c r="BQ93" s="72"/>
      <c r="BR93" s="72"/>
      <c r="BS93" s="72"/>
      <c r="BT93" s="72"/>
      <c r="BU93" s="52"/>
      <c r="BW93" s="72"/>
      <c r="BX93" s="72"/>
      <c r="BY93" s="72"/>
      <c r="BZ93" s="72"/>
      <c r="CA93" s="72"/>
      <c r="CB93" s="52"/>
      <c r="CD93" s="72"/>
      <c r="CE93" s="72"/>
      <c r="CF93" s="72"/>
      <c r="CG93" s="72"/>
      <c r="CH93" s="72"/>
      <c r="CI93" s="52"/>
      <c r="CK93" s="72"/>
      <c r="CL93" s="72"/>
      <c r="CM93" s="72"/>
      <c r="CN93" s="72"/>
      <c r="CO93" s="72"/>
      <c r="CP93" s="303">
        <f t="shared" si="64"/>
        <v>4003</v>
      </c>
    </row>
    <row r="94" spans="2:95" ht="21" customHeight="1">
      <c r="B94" s="1012"/>
      <c r="C94" s="505" t="s">
        <v>451</v>
      </c>
      <c r="E94" s="72"/>
      <c r="F94" s="72"/>
      <c r="G94" s="72"/>
      <c r="H94" s="72"/>
      <c r="I94" s="72"/>
      <c r="J94" s="52">
        <v>5</v>
      </c>
      <c r="L94" s="72"/>
      <c r="M94" s="72"/>
      <c r="N94" s="72"/>
      <c r="O94" s="72"/>
      <c r="P94" s="72"/>
      <c r="Q94" s="52">
        <v>9</v>
      </c>
      <c r="S94" s="72"/>
      <c r="T94" s="72"/>
      <c r="U94" s="72"/>
      <c r="V94" s="72"/>
      <c r="W94" s="72"/>
      <c r="X94" s="52">
        <v>4</v>
      </c>
      <c r="Z94" s="72"/>
      <c r="AA94" s="72"/>
      <c r="AB94" s="72"/>
      <c r="AC94" s="72"/>
      <c r="AD94" s="72"/>
      <c r="AE94" s="52">
        <v>9</v>
      </c>
      <c r="AG94" s="72"/>
      <c r="AH94" s="72"/>
      <c r="AI94" s="72"/>
      <c r="AJ94" s="72"/>
      <c r="AK94" s="72"/>
      <c r="AL94" s="52">
        <v>2</v>
      </c>
      <c r="AN94" s="72"/>
      <c r="AO94" s="72"/>
      <c r="AP94" s="72"/>
      <c r="AQ94" s="72"/>
      <c r="AR94" s="72"/>
      <c r="AS94" s="52">
        <v>6</v>
      </c>
      <c r="AU94" s="72"/>
      <c r="AV94" s="72"/>
      <c r="AW94" s="72"/>
      <c r="AX94" s="72"/>
      <c r="AY94" s="72"/>
      <c r="AZ94" s="52"/>
      <c r="BB94" s="72"/>
      <c r="BC94" s="72"/>
      <c r="BD94" s="72"/>
      <c r="BE94" s="72"/>
      <c r="BF94" s="72"/>
      <c r="BG94" s="52"/>
      <c r="BI94" s="72"/>
      <c r="BJ94" s="72"/>
      <c r="BK94" s="72"/>
      <c r="BL94" s="72"/>
      <c r="BM94" s="72"/>
      <c r="BN94" s="52"/>
      <c r="BP94" s="72"/>
      <c r="BQ94" s="72"/>
      <c r="BR94" s="72"/>
      <c r="BS94" s="72"/>
      <c r="BT94" s="72"/>
      <c r="BU94" s="52"/>
      <c r="BW94" s="72"/>
      <c r="BX94" s="72"/>
      <c r="BY94" s="72"/>
      <c r="BZ94" s="72"/>
      <c r="CA94" s="72"/>
      <c r="CB94" s="52"/>
      <c r="CD94" s="72"/>
      <c r="CE94" s="72"/>
      <c r="CF94" s="72"/>
      <c r="CG94" s="72"/>
      <c r="CH94" s="72"/>
      <c r="CI94" s="52"/>
      <c r="CK94" s="72"/>
      <c r="CL94" s="72"/>
      <c r="CM94" s="72"/>
      <c r="CN94" s="72"/>
      <c r="CO94" s="72"/>
      <c r="CP94" s="303">
        <f t="shared" si="64"/>
        <v>35</v>
      </c>
    </row>
    <row r="95" spans="2:95" s="346" customFormat="1" ht="7.2" customHeight="1">
      <c r="B95" s="341"/>
      <c r="C95" s="342"/>
      <c r="D95" s="343"/>
      <c r="E95" s="344"/>
      <c r="F95" s="344"/>
      <c r="G95" s="344"/>
      <c r="H95" s="344"/>
      <c r="I95" s="344"/>
      <c r="J95" s="344"/>
      <c r="K95" s="343"/>
      <c r="L95" s="344"/>
      <c r="M95" s="344"/>
      <c r="N95" s="344"/>
      <c r="O95" s="344"/>
      <c r="P95" s="344"/>
      <c r="Q95" s="344"/>
      <c r="R95" s="343"/>
      <c r="S95" s="344"/>
      <c r="T95" s="344"/>
      <c r="U95" s="344"/>
      <c r="V95" s="344"/>
      <c r="W95" s="344"/>
      <c r="X95" s="344"/>
      <c r="Y95" s="343"/>
      <c r="Z95" s="344"/>
      <c r="AA95" s="344"/>
      <c r="AB95" s="344"/>
      <c r="AC95" s="344"/>
      <c r="AD95" s="344"/>
      <c r="AE95" s="344"/>
      <c r="AF95" s="343"/>
      <c r="AG95" s="344"/>
      <c r="AH95" s="344"/>
      <c r="AI95" s="344"/>
      <c r="AJ95" s="344"/>
      <c r="AK95" s="344"/>
      <c r="AL95" s="344"/>
      <c r="AM95" s="343"/>
      <c r="AN95" s="344"/>
      <c r="AO95" s="344"/>
      <c r="AP95" s="344"/>
      <c r="AQ95" s="344"/>
      <c r="AR95" s="344"/>
      <c r="AS95" s="344"/>
      <c r="AT95" s="343"/>
      <c r="AU95" s="344"/>
      <c r="AV95" s="344"/>
      <c r="AW95" s="344"/>
      <c r="AX95" s="344"/>
      <c r="AY95" s="344"/>
      <c r="AZ95" s="344"/>
      <c r="BA95" s="343"/>
      <c r="BB95" s="344"/>
      <c r="BC95" s="344"/>
      <c r="BD95" s="344"/>
      <c r="BE95" s="344"/>
      <c r="BF95" s="344"/>
      <c r="BG95" s="344"/>
      <c r="BH95" s="343"/>
      <c r="BI95" s="344"/>
      <c r="BJ95" s="344"/>
      <c r="BK95" s="344"/>
      <c r="BL95" s="344"/>
      <c r="BM95" s="344"/>
      <c r="BN95" s="344"/>
      <c r="BO95" s="343"/>
      <c r="BP95" s="344"/>
      <c r="BQ95" s="344"/>
      <c r="BR95" s="344"/>
      <c r="BS95" s="344"/>
      <c r="BT95" s="344"/>
      <c r="BU95" s="344"/>
      <c r="BV95" s="343"/>
      <c r="BW95" s="344"/>
      <c r="BX95" s="344"/>
      <c r="BY95" s="344"/>
      <c r="BZ95" s="344"/>
      <c r="CA95" s="344"/>
      <c r="CB95" s="344"/>
      <c r="CC95" s="343"/>
      <c r="CD95" s="344"/>
      <c r="CE95" s="344"/>
      <c r="CF95" s="344"/>
      <c r="CG95" s="344"/>
      <c r="CH95" s="344"/>
      <c r="CI95" s="344"/>
      <c r="CJ95" s="343"/>
      <c r="CK95" s="344"/>
      <c r="CL95" s="344"/>
      <c r="CM95" s="344"/>
      <c r="CN95" s="344"/>
      <c r="CO95" s="344"/>
      <c r="CP95" s="344"/>
      <c r="CQ95" s="345"/>
    </row>
    <row r="96" spans="2:95" ht="21" customHeight="1">
      <c r="B96" s="1013" t="s">
        <v>454</v>
      </c>
      <c r="C96" s="508" t="s">
        <v>87</v>
      </c>
      <c r="E96" s="72"/>
      <c r="F96" s="72"/>
      <c r="G96" s="72"/>
      <c r="H96" s="72"/>
      <c r="I96" s="72"/>
      <c r="J96" s="52">
        <v>12013</v>
      </c>
      <c r="L96" s="72"/>
      <c r="M96" s="72"/>
      <c r="N96" s="72"/>
      <c r="O96" s="72"/>
      <c r="P96" s="72"/>
      <c r="Q96" s="52">
        <v>10705</v>
      </c>
      <c r="S96" s="72"/>
      <c r="T96" s="72"/>
      <c r="U96" s="72"/>
      <c r="V96" s="72"/>
      <c r="W96" s="72"/>
      <c r="X96" s="52">
        <v>10571</v>
      </c>
      <c r="Z96" s="72"/>
      <c r="AA96" s="72"/>
      <c r="AB96" s="72"/>
      <c r="AC96" s="72"/>
      <c r="AD96" s="72"/>
      <c r="AE96" s="52">
        <v>12923</v>
      </c>
      <c r="AG96" s="72"/>
      <c r="AH96" s="72"/>
      <c r="AI96" s="72"/>
      <c r="AJ96" s="72"/>
      <c r="AK96" s="72"/>
      <c r="AL96" s="52">
        <v>9918</v>
      </c>
      <c r="AN96" s="72"/>
      <c r="AO96" s="72"/>
      <c r="AP96" s="72"/>
      <c r="AQ96" s="72"/>
      <c r="AR96" s="72"/>
      <c r="AS96" s="52">
        <v>8973</v>
      </c>
      <c r="AU96" s="72"/>
      <c r="AV96" s="72"/>
      <c r="AW96" s="72"/>
      <c r="AX96" s="72"/>
      <c r="AY96" s="72"/>
      <c r="AZ96" s="52"/>
      <c r="BB96" s="72"/>
      <c r="BC96" s="72"/>
      <c r="BD96" s="72"/>
      <c r="BE96" s="72"/>
      <c r="BF96" s="72"/>
      <c r="BG96" s="52"/>
      <c r="BI96" s="72"/>
      <c r="BJ96" s="72"/>
      <c r="BK96" s="72"/>
      <c r="BL96" s="72"/>
      <c r="BM96" s="72"/>
      <c r="BN96" s="52"/>
      <c r="BP96" s="72"/>
      <c r="BQ96" s="72"/>
      <c r="BR96" s="72"/>
      <c r="BS96" s="72"/>
      <c r="BT96" s="72"/>
      <c r="BU96" s="52"/>
      <c r="BW96" s="72"/>
      <c r="BX96" s="72"/>
      <c r="BY96" s="72"/>
      <c r="BZ96" s="72"/>
      <c r="CA96" s="72"/>
      <c r="CB96" s="52"/>
      <c r="CD96" s="72"/>
      <c r="CE96" s="72"/>
      <c r="CF96" s="72"/>
      <c r="CG96" s="72"/>
      <c r="CH96" s="72"/>
      <c r="CI96" s="52"/>
      <c r="CK96" s="72"/>
      <c r="CL96" s="72"/>
      <c r="CM96" s="72"/>
      <c r="CN96" s="72"/>
      <c r="CO96" s="72"/>
      <c r="CP96" s="303">
        <f t="shared" si="64"/>
        <v>65103</v>
      </c>
    </row>
    <row r="97" spans="2:95" ht="21" customHeight="1">
      <c r="B97" s="1013"/>
      <c r="C97" s="506" t="s">
        <v>455</v>
      </c>
      <c r="E97" s="72"/>
      <c r="F97" s="72"/>
      <c r="G97" s="72"/>
      <c r="H97" s="72"/>
      <c r="I97" s="72"/>
      <c r="J97" s="52">
        <v>604</v>
      </c>
      <c r="L97" s="72"/>
      <c r="M97" s="72"/>
      <c r="N97" s="72"/>
      <c r="O97" s="72"/>
      <c r="P97" s="72"/>
      <c r="Q97" s="52">
        <v>150</v>
      </c>
      <c r="S97" s="72"/>
      <c r="T97" s="72"/>
      <c r="U97" s="72"/>
      <c r="V97" s="72"/>
      <c r="W97" s="72"/>
      <c r="X97" s="52">
        <v>693</v>
      </c>
      <c r="Z97" s="72"/>
      <c r="AA97" s="72"/>
      <c r="AB97" s="72"/>
      <c r="AC97" s="72"/>
      <c r="AD97" s="72"/>
      <c r="AE97" s="52">
        <v>714</v>
      </c>
      <c r="AG97" s="72"/>
      <c r="AH97" s="72"/>
      <c r="AI97" s="72"/>
      <c r="AJ97" s="72"/>
      <c r="AK97" s="72"/>
      <c r="AL97" s="52">
        <v>146</v>
      </c>
      <c r="AN97" s="72"/>
      <c r="AO97" s="72"/>
      <c r="AP97" s="72"/>
      <c r="AQ97" s="72"/>
      <c r="AR97" s="72"/>
      <c r="AS97" s="52">
        <v>181</v>
      </c>
      <c r="AU97" s="72"/>
      <c r="AV97" s="72"/>
      <c r="AW97" s="72"/>
      <c r="AX97" s="72"/>
      <c r="AY97" s="72"/>
      <c r="AZ97" s="52"/>
      <c r="BB97" s="72"/>
      <c r="BC97" s="72"/>
      <c r="BD97" s="72"/>
      <c r="BE97" s="72"/>
      <c r="BF97" s="72"/>
      <c r="BG97" s="52"/>
      <c r="BI97" s="72"/>
      <c r="BJ97" s="72"/>
      <c r="BK97" s="72"/>
      <c r="BL97" s="72"/>
      <c r="BM97" s="72"/>
      <c r="BN97" s="52"/>
      <c r="BP97" s="72"/>
      <c r="BQ97" s="72"/>
      <c r="BR97" s="72"/>
      <c r="BS97" s="72"/>
      <c r="BT97" s="72"/>
      <c r="BU97" s="52"/>
      <c r="BW97" s="72"/>
      <c r="BX97" s="72"/>
      <c r="BY97" s="72"/>
      <c r="BZ97" s="72"/>
      <c r="CA97" s="72"/>
      <c r="CB97" s="52"/>
      <c r="CD97" s="72"/>
      <c r="CE97" s="72"/>
      <c r="CF97" s="72"/>
      <c r="CG97" s="72"/>
      <c r="CH97" s="72"/>
      <c r="CI97" s="52"/>
      <c r="CK97" s="72"/>
      <c r="CL97" s="72"/>
      <c r="CM97" s="72"/>
      <c r="CN97" s="72"/>
      <c r="CO97" s="72"/>
      <c r="CP97" s="303">
        <f t="shared" si="64"/>
        <v>2488</v>
      </c>
    </row>
    <row r="98" spans="2:95" ht="21" customHeight="1">
      <c r="B98" s="1013"/>
      <c r="C98" s="506" t="s">
        <v>456</v>
      </c>
      <c r="E98" s="72"/>
      <c r="F98" s="72"/>
      <c r="G98" s="72"/>
      <c r="H98" s="72"/>
      <c r="I98" s="72"/>
      <c r="J98" s="52">
        <v>183</v>
      </c>
      <c r="L98" s="72"/>
      <c r="M98" s="72"/>
      <c r="N98" s="72"/>
      <c r="O98" s="72"/>
      <c r="P98" s="72"/>
      <c r="Q98" s="52">
        <v>2068</v>
      </c>
      <c r="S98" s="72"/>
      <c r="T98" s="72"/>
      <c r="U98" s="72"/>
      <c r="V98" s="72"/>
      <c r="W98" s="72"/>
      <c r="X98" s="52">
        <v>170</v>
      </c>
      <c r="Z98" s="72"/>
      <c r="AA98" s="72"/>
      <c r="AB98" s="72"/>
      <c r="AC98" s="72"/>
      <c r="AD98" s="72"/>
      <c r="AE98" s="52">
        <v>175</v>
      </c>
      <c r="AG98" s="72"/>
      <c r="AH98" s="72"/>
      <c r="AI98" s="72"/>
      <c r="AJ98" s="72"/>
      <c r="AK98" s="72"/>
      <c r="AL98" s="52">
        <v>2023</v>
      </c>
      <c r="AN98" s="72"/>
      <c r="AO98" s="72"/>
      <c r="AP98" s="72"/>
      <c r="AQ98" s="72"/>
      <c r="AR98" s="72"/>
      <c r="AS98" s="52">
        <v>2511</v>
      </c>
      <c r="AU98" s="72"/>
      <c r="AV98" s="72"/>
      <c r="AW98" s="72"/>
      <c r="AX98" s="72"/>
      <c r="AY98" s="72"/>
      <c r="AZ98" s="52"/>
      <c r="BB98" s="72"/>
      <c r="BC98" s="72"/>
      <c r="BD98" s="72"/>
      <c r="BE98" s="72"/>
      <c r="BF98" s="72"/>
      <c r="BG98" s="52"/>
      <c r="BI98" s="72"/>
      <c r="BJ98" s="72"/>
      <c r="BK98" s="72"/>
      <c r="BL98" s="72"/>
      <c r="BM98" s="72"/>
      <c r="BN98" s="52"/>
      <c r="BP98" s="72"/>
      <c r="BQ98" s="72"/>
      <c r="BR98" s="72"/>
      <c r="BS98" s="72"/>
      <c r="BT98" s="72"/>
      <c r="BU98" s="52"/>
      <c r="BW98" s="72"/>
      <c r="BX98" s="72"/>
      <c r="BY98" s="72"/>
      <c r="BZ98" s="72"/>
      <c r="CA98" s="72"/>
      <c r="CB98" s="52"/>
      <c r="CD98" s="72"/>
      <c r="CE98" s="72"/>
      <c r="CF98" s="72"/>
      <c r="CG98" s="72"/>
      <c r="CH98" s="72"/>
      <c r="CI98" s="52"/>
      <c r="CK98" s="72"/>
      <c r="CL98" s="72"/>
      <c r="CM98" s="72"/>
      <c r="CN98" s="72"/>
      <c r="CO98" s="72"/>
      <c r="CP98" s="303">
        <f t="shared" si="64"/>
        <v>7130</v>
      </c>
    </row>
    <row r="99" spans="2:95" s="346" customFormat="1" ht="7.2" customHeight="1">
      <c r="B99" s="341"/>
      <c r="C99" s="342"/>
      <c r="D99" s="343"/>
      <c r="E99" s="344"/>
      <c r="F99" s="344"/>
      <c r="G99" s="344"/>
      <c r="H99" s="344"/>
      <c r="I99" s="344"/>
      <c r="J99" s="344"/>
      <c r="K99" s="343"/>
      <c r="L99" s="344"/>
      <c r="M99" s="344"/>
      <c r="N99" s="344"/>
      <c r="O99" s="344"/>
      <c r="P99" s="344"/>
      <c r="Q99" s="344"/>
      <c r="R99" s="343"/>
      <c r="S99" s="344"/>
      <c r="T99" s="344"/>
      <c r="U99" s="344"/>
      <c r="V99" s="344"/>
      <c r="W99" s="344"/>
      <c r="X99" s="344"/>
      <c r="Y99" s="343"/>
      <c r="Z99" s="344"/>
      <c r="AA99" s="344"/>
      <c r="AB99" s="344"/>
      <c r="AC99" s="344"/>
      <c r="AD99" s="344"/>
      <c r="AE99" s="344"/>
      <c r="AF99" s="343"/>
      <c r="AG99" s="344"/>
      <c r="AH99" s="344"/>
      <c r="AI99" s="344"/>
      <c r="AJ99" s="344"/>
      <c r="AK99" s="344"/>
      <c r="AL99" s="344"/>
      <c r="AM99" s="343"/>
      <c r="AN99" s="344"/>
      <c r="AO99" s="344"/>
      <c r="AP99" s="344"/>
      <c r="AQ99" s="344"/>
      <c r="AR99" s="344"/>
      <c r="AS99" s="344"/>
      <c r="AT99" s="343"/>
      <c r="AU99" s="344"/>
      <c r="AV99" s="344"/>
      <c r="AW99" s="344"/>
      <c r="AX99" s="344"/>
      <c r="AY99" s="344"/>
      <c r="AZ99" s="344"/>
      <c r="BA99" s="343"/>
      <c r="BB99" s="344"/>
      <c r="BC99" s="344"/>
      <c r="BD99" s="344"/>
      <c r="BE99" s="344"/>
      <c r="BF99" s="344"/>
      <c r="BG99" s="344"/>
      <c r="BH99" s="343"/>
      <c r="BI99" s="344"/>
      <c r="BJ99" s="344"/>
      <c r="BK99" s="344"/>
      <c r="BL99" s="344"/>
      <c r="BM99" s="344"/>
      <c r="BN99" s="344"/>
      <c r="BO99" s="343"/>
      <c r="BP99" s="344"/>
      <c r="BQ99" s="344"/>
      <c r="BR99" s="344"/>
      <c r="BS99" s="344"/>
      <c r="BT99" s="344"/>
      <c r="BU99" s="344"/>
      <c r="BV99" s="343"/>
      <c r="BW99" s="344"/>
      <c r="BX99" s="344"/>
      <c r="BY99" s="344"/>
      <c r="BZ99" s="344"/>
      <c r="CA99" s="344"/>
      <c r="CB99" s="344"/>
      <c r="CC99" s="343"/>
      <c r="CD99" s="344"/>
      <c r="CE99" s="344"/>
      <c r="CF99" s="344"/>
      <c r="CG99" s="344"/>
      <c r="CH99" s="344"/>
      <c r="CI99" s="344"/>
      <c r="CJ99" s="343"/>
      <c r="CK99" s="344"/>
      <c r="CL99" s="344"/>
      <c r="CM99" s="344"/>
      <c r="CN99" s="344"/>
      <c r="CO99" s="344"/>
      <c r="CP99" s="344"/>
      <c r="CQ99" s="345"/>
    </row>
    <row r="100" spans="2:95" ht="21" customHeight="1">
      <c r="B100" s="509" t="s">
        <v>457</v>
      </c>
      <c r="C100" s="512" t="s">
        <v>458</v>
      </c>
      <c r="E100" s="72"/>
      <c r="F100" s="72"/>
      <c r="G100" s="72"/>
      <c r="H100" s="72"/>
      <c r="I100" s="72"/>
      <c r="J100" s="52">
        <v>125533</v>
      </c>
      <c r="L100" s="72"/>
      <c r="M100" s="72"/>
      <c r="N100" s="72"/>
      <c r="O100" s="72"/>
      <c r="P100" s="72"/>
      <c r="Q100" s="52">
        <v>130202</v>
      </c>
      <c r="S100" s="72"/>
      <c r="T100" s="72"/>
      <c r="U100" s="72"/>
      <c r="V100" s="72"/>
      <c r="W100" s="72"/>
      <c r="X100" s="52">
        <v>117233</v>
      </c>
      <c r="Z100" s="72"/>
      <c r="AA100" s="72"/>
      <c r="AB100" s="72"/>
      <c r="AC100" s="72"/>
      <c r="AD100" s="72"/>
      <c r="AE100" s="52">
        <v>132500</v>
      </c>
      <c r="AG100" s="72"/>
      <c r="AH100" s="72"/>
      <c r="AI100" s="72"/>
      <c r="AJ100" s="72"/>
      <c r="AK100" s="72"/>
      <c r="AL100" s="52">
        <v>109085</v>
      </c>
      <c r="AN100" s="72"/>
      <c r="AO100" s="72"/>
      <c r="AP100" s="72"/>
      <c r="AQ100" s="72"/>
      <c r="AR100" s="72"/>
      <c r="AS100" s="52">
        <v>109450</v>
      </c>
      <c r="AU100" s="72"/>
      <c r="AV100" s="72"/>
      <c r="AW100" s="72"/>
      <c r="AX100" s="72"/>
      <c r="AY100" s="72"/>
      <c r="AZ100" s="52"/>
      <c r="BB100" s="72"/>
      <c r="BC100" s="72"/>
      <c r="BD100" s="72"/>
      <c r="BE100" s="72"/>
      <c r="BF100" s="72"/>
      <c r="BG100" s="52"/>
      <c r="BI100" s="72"/>
      <c r="BJ100" s="72"/>
      <c r="BK100" s="72"/>
      <c r="BL100" s="72"/>
      <c r="BM100" s="72"/>
      <c r="BN100" s="52"/>
      <c r="BP100" s="72"/>
      <c r="BQ100" s="72"/>
      <c r="BR100" s="72"/>
      <c r="BS100" s="72"/>
      <c r="BT100" s="72"/>
      <c r="BU100" s="52"/>
      <c r="BW100" s="72"/>
      <c r="BX100" s="72"/>
      <c r="BY100" s="72"/>
      <c r="BZ100" s="72"/>
      <c r="CA100" s="72"/>
      <c r="CB100" s="52"/>
      <c r="CD100" s="72"/>
      <c r="CE100" s="72"/>
      <c r="CF100" s="72"/>
      <c r="CG100" s="72"/>
      <c r="CH100" s="72"/>
      <c r="CI100" s="52"/>
      <c r="CK100" s="72"/>
      <c r="CL100" s="72"/>
      <c r="CM100" s="72"/>
      <c r="CN100" s="72"/>
      <c r="CO100" s="72"/>
      <c r="CP100" s="303">
        <f t="shared" si="64"/>
        <v>724003</v>
      </c>
    </row>
    <row r="101" spans="2:95" s="346" customFormat="1" ht="7.2" customHeight="1">
      <c r="B101" s="341"/>
      <c r="C101" s="342"/>
      <c r="D101" s="343"/>
      <c r="E101" s="344"/>
      <c r="F101" s="344"/>
      <c r="G101" s="344"/>
      <c r="H101" s="344"/>
      <c r="I101" s="344"/>
      <c r="J101" s="344"/>
      <c r="K101" s="343"/>
      <c r="L101" s="344"/>
      <c r="M101" s="344"/>
      <c r="N101" s="344"/>
      <c r="O101" s="344"/>
      <c r="P101" s="344"/>
      <c r="Q101" s="344"/>
      <c r="R101" s="343"/>
      <c r="S101" s="344"/>
      <c r="T101" s="344"/>
      <c r="U101" s="344"/>
      <c r="V101" s="344"/>
      <c r="W101" s="344"/>
      <c r="X101" s="344"/>
      <c r="Y101" s="343"/>
      <c r="Z101" s="344"/>
      <c r="AA101" s="344"/>
      <c r="AB101" s="344"/>
      <c r="AC101" s="344"/>
      <c r="AD101" s="344"/>
      <c r="AE101" s="344"/>
      <c r="AF101" s="343"/>
      <c r="AG101" s="344"/>
      <c r="AH101" s="344"/>
      <c r="AI101" s="344"/>
      <c r="AJ101" s="344"/>
      <c r="AK101" s="344"/>
      <c r="AL101" s="344"/>
      <c r="AM101" s="343"/>
      <c r="AN101" s="344"/>
      <c r="AO101" s="344"/>
      <c r="AP101" s="344"/>
      <c r="AQ101" s="344"/>
      <c r="AR101" s="344"/>
      <c r="AS101" s="344"/>
      <c r="AT101" s="343"/>
      <c r="AU101" s="344"/>
      <c r="AV101" s="344"/>
      <c r="AW101" s="344"/>
      <c r="AX101" s="344"/>
      <c r="AY101" s="344"/>
      <c r="AZ101" s="344"/>
      <c r="BA101" s="343"/>
      <c r="BB101" s="344"/>
      <c r="BC101" s="344"/>
      <c r="BD101" s="344"/>
      <c r="BE101" s="344"/>
      <c r="BF101" s="344"/>
      <c r="BG101" s="344"/>
      <c r="BH101" s="343"/>
      <c r="BI101" s="344"/>
      <c r="BJ101" s="344"/>
      <c r="BK101" s="344"/>
      <c r="BL101" s="344"/>
      <c r="BM101" s="344"/>
      <c r="BN101" s="344"/>
      <c r="BO101" s="343"/>
      <c r="BP101" s="344"/>
      <c r="BQ101" s="344"/>
      <c r="BR101" s="344"/>
      <c r="BS101" s="344"/>
      <c r="BT101" s="344"/>
      <c r="BU101" s="344"/>
      <c r="BV101" s="343"/>
      <c r="BW101" s="344"/>
      <c r="BX101" s="344"/>
      <c r="BY101" s="344"/>
      <c r="BZ101" s="344"/>
      <c r="CA101" s="344"/>
      <c r="CB101" s="344"/>
      <c r="CC101" s="343"/>
      <c r="CD101" s="344"/>
      <c r="CE101" s="344"/>
      <c r="CF101" s="344"/>
      <c r="CG101" s="344"/>
      <c r="CH101" s="344"/>
      <c r="CI101" s="344"/>
      <c r="CJ101" s="343"/>
      <c r="CK101" s="344"/>
      <c r="CL101" s="344"/>
      <c r="CM101" s="344"/>
      <c r="CN101" s="344"/>
      <c r="CO101" s="344"/>
      <c r="CP101" s="344"/>
      <c r="CQ101" s="345"/>
    </row>
    <row r="102" spans="2:95" ht="20.399999999999999" customHeight="1">
      <c r="B102" s="1007" t="s">
        <v>466</v>
      </c>
      <c r="C102" s="250" t="s">
        <v>372</v>
      </c>
      <c r="D102" s="42"/>
      <c r="E102" s="302"/>
      <c r="F102" s="302"/>
      <c r="G102" s="302"/>
      <c r="H102" s="302"/>
      <c r="I102" s="302"/>
      <c r="J102" s="522">
        <v>34</v>
      </c>
      <c r="K102" s="42"/>
      <c r="L102" s="302"/>
      <c r="M102" s="302"/>
      <c r="N102" s="302"/>
      <c r="O102" s="302"/>
      <c r="P102" s="302"/>
      <c r="Q102" s="522">
        <f t="shared" ref="Q102:Q110" si="65">J102</f>
        <v>34</v>
      </c>
      <c r="R102" s="42"/>
      <c r="S102" s="302"/>
      <c r="T102" s="302"/>
      <c r="U102" s="302"/>
      <c r="V102" s="302"/>
      <c r="W102" s="302"/>
      <c r="X102" s="522">
        <f t="shared" ref="X102:X110" si="66">Q102</f>
        <v>34</v>
      </c>
      <c r="Y102" s="42"/>
      <c r="Z102" s="302"/>
      <c r="AA102" s="302"/>
      <c r="AB102" s="302"/>
      <c r="AC102" s="302"/>
      <c r="AD102" s="302"/>
      <c r="AE102" s="522">
        <f t="shared" ref="AE102:AE110" si="67">X102</f>
        <v>34</v>
      </c>
      <c r="AF102" s="42"/>
      <c r="AG102" s="302"/>
      <c r="AH102" s="302"/>
      <c r="AI102" s="302"/>
      <c r="AJ102" s="302"/>
      <c r="AK102" s="302"/>
      <c r="AL102" s="522">
        <f t="shared" ref="AL102:AL110" si="68">AE102</f>
        <v>34</v>
      </c>
      <c r="AM102" s="42"/>
      <c r="AN102" s="302"/>
      <c r="AO102" s="302"/>
      <c r="AP102" s="302"/>
      <c r="AQ102" s="302"/>
      <c r="AR102" s="302"/>
      <c r="AS102" s="522">
        <f t="shared" ref="AS102:AS110" si="69">AL102</f>
        <v>34</v>
      </c>
      <c r="AT102" s="42"/>
      <c r="AU102" s="302"/>
      <c r="AV102" s="302"/>
      <c r="AW102" s="302"/>
      <c r="AX102" s="302"/>
      <c r="AY102" s="302"/>
      <c r="AZ102" s="522">
        <f t="shared" ref="AZ102:AZ110" si="70">AS102</f>
        <v>34</v>
      </c>
      <c r="BA102" s="42"/>
      <c r="BB102" s="302"/>
      <c r="BC102" s="302"/>
      <c r="BD102" s="302"/>
      <c r="BE102" s="302"/>
      <c r="BF102" s="302"/>
      <c r="BG102" s="522">
        <f t="shared" ref="BG102:BG110" si="71">AZ102</f>
        <v>34</v>
      </c>
      <c r="BH102" s="42"/>
      <c r="BI102" s="302"/>
      <c r="BJ102" s="302"/>
      <c r="BK102" s="302"/>
      <c r="BL102" s="302"/>
      <c r="BM102" s="302"/>
      <c r="BN102" s="522">
        <f t="shared" ref="BN102:BN110" si="72">BG102</f>
        <v>34</v>
      </c>
      <c r="BO102" s="42"/>
      <c r="BP102" s="302"/>
      <c r="BQ102" s="302"/>
      <c r="BR102" s="302"/>
      <c r="BS102" s="302"/>
      <c r="BT102" s="302"/>
      <c r="BU102" s="522">
        <f t="shared" ref="BU102:BU110" si="73">BN102</f>
        <v>34</v>
      </c>
      <c r="BV102" s="42"/>
      <c r="BW102" s="302"/>
      <c r="BX102" s="302"/>
      <c r="BY102" s="302"/>
      <c r="BZ102" s="302"/>
      <c r="CA102" s="302"/>
      <c r="CB102" s="522">
        <f t="shared" ref="CB102:CB110" si="74">BU102</f>
        <v>34</v>
      </c>
      <c r="CC102" s="42"/>
      <c r="CD102" s="302"/>
      <c r="CE102" s="302"/>
      <c r="CF102" s="302"/>
      <c r="CG102" s="302"/>
      <c r="CH102" s="302"/>
      <c r="CI102" s="522">
        <f t="shared" ref="CI102:CI110" si="75">CB102</f>
        <v>34</v>
      </c>
      <c r="CJ102" s="42"/>
      <c r="CK102" s="302"/>
      <c r="CL102" s="302"/>
      <c r="CM102" s="302"/>
      <c r="CN102" s="302"/>
      <c r="CO102" s="302"/>
      <c r="CP102" s="305">
        <f t="shared" ref="CP102:CP110" si="76">MAX(J102,Q102,X102,AE102,AL102,AS102,AZ102,BG102,BN102,BU102,CB102,CI102)</f>
        <v>34</v>
      </c>
      <c r="CQ102" s="40"/>
    </row>
    <row r="103" spans="2:95" ht="20.399999999999999" customHeight="1">
      <c r="B103" s="1008"/>
      <c r="C103" s="250" t="s">
        <v>371</v>
      </c>
      <c r="D103" s="42"/>
      <c r="E103" s="302"/>
      <c r="F103" s="302"/>
      <c r="G103" s="302"/>
      <c r="H103" s="302"/>
      <c r="I103" s="302"/>
      <c r="J103" s="522">
        <v>42</v>
      </c>
      <c r="K103" s="42"/>
      <c r="L103" s="302"/>
      <c r="M103" s="302"/>
      <c r="N103" s="302"/>
      <c r="O103" s="302"/>
      <c r="P103" s="302"/>
      <c r="Q103" s="522">
        <f t="shared" si="65"/>
        <v>42</v>
      </c>
      <c r="R103" s="42"/>
      <c r="S103" s="302"/>
      <c r="T103" s="302"/>
      <c r="U103" s="302"/>
      <c r="V103" s="302"/>
      <c r="W103" s="302"/>
      <c r="X103" s="522">
        <f t="shared" si="66"/>
        <v>42</v>
      </c>
      <c r="Y103" s="42"/>
      <c r="Z103" s="302"/>
      <c r="AA103" s="302"/>
      <c r="AB103" s="302"/>
      <c r="AC103" s="302"/>
      <c r="AD103" s="302"/>
      <c r="AE103" s="522">
        <f t="shared" si="67"/>
        <v>42</v>
      </c>
      <c r="AF103" s="42"/>
      <c r="AG103" s="302"/>
      <c r="AH103" s="302"/>
      <c r="AI103" s="302"/>
      <c r="AJ103" s="302"/>
      <c r="AK103" s="302"/>
      <c r="AL103" s="522">
        <f t="shared" si="68"/>
        <v>42</v>
      </c>
      <c r="AM103" s="42"/>
      <c r="AN103" s="302"/>
      <c r="AO103" s="302"/>
      <c r="AP103" s="302"/>
      <c r="AQ103" s="302"/>
      <c r="AR103" s="302"/>
      <c r="AS103" s="522">
        <f t="shared" si="69"/>
        <v>42</v>
      </c>
      <c r="AT103" s="42"/>
      <c r="AU103" s="302"/>
      <c r="AV103" s="302"/>
      <c r="AW103" s="302"/>
      <c r="AX103" s="302"/>
      <c r="AY103" s="302"/>
      <c r="AZ103" s="522">
        <f t="shared" si="70"/>
        <v>42</v>
      </c>
      <c r="BA103" s="42"/>
      <c r="BB103" s="302"/>
      <c r="BC103" s="302"/>
      <c r="BD103" s="302"/>
      <c r="BE103" s="302"/>
      <c r="BF103" s="302"/>
      <c r="BG103" s="522">
        <f t="shared" si="71"/>
        <v>42</v>
      </c>
      <c r="BH103" s="42"/>
      <c r="BI103" s="302"/>
      <c r="BJ103" s="302"/>
      <c r="BK103" s="302"/>
      <c r="BL103" s="302"/>
      <c r="BM103" s="302"/>
      <c r="BN103" s="522">
        <f t="shared" si="72"/>
        <v>42</v>
      </c>
      <c r="BO103" s="42"/>
      <c r="BP103" s="302"/>
      <c r="BQ103" s="302"/>
      <c r="BR103" s="302"/>
      <c r="BS103" s="302"/>
      <c r="BT103" s="302"/>
      <c r="BU103" s="522">
        <f t="shared" si="73"/>
        <v>42</v>
      </c>
      <c r="BV103" s="42"/>
      <c r="BW103" s="302"/>
      <c r="BX103" s="302"/>
      <c r="BY103" s="302"/>
      <c r="BZ103" s="302"/>
      <c r="CA103" s="302"/>
      <c r="CB103" s="522">
        <f t="shared" si="74"/>
        <v>42</v>
      </c>
      <c r="CC103" s="42"/>
      <c r="CD103" s="302"/>
      <c r="CE103" s="302"/>
      <c r="CF103" s="302"/>
      <c r="CG103" s="302"/>
      <c r="CH103" s="302"/>
      <c r="CI103" s="522">
        <f t="shared" si="75"/>
        <v>42</v>
      </c>
      <c r="CJ103" s="42"/>
      <c r="CK103" s="302"/>
      <c r="CL103" s="302"/>
      <c r="CM103" s="302"/>
      <c r="CN103" s="302"/>
      <c r="CO103" s="302"/>
      <c r="CP103" s="305">
        <f t="shared" si="76"/>
        <v>42</v>
      </c>
      <c r="CQ103" s="40"/>
    </row>
    <row r="104" spans="2:95" ht="20.399999999999999" customHeight="1">
      <c r="B104" s="1008"/>
      <c r="C104" s="250" t="s">
        <v>375</v>
      </c>
      <c r="D104" s="42"/>
      <c r="E104" s="302"/>
      <c r="F104" s="302"/>
      <c r="G104" s="302"/>
      <c r="H104" s="302"/>
      <c r="I104" s="302"/>
      <c r="J104" s="522">
        <v>34</v>
      </c>
      <c r="K104" s="42"/>
      <c r="L104" s="302"/>
      <c r="M104" s="302"/>
      <c r="N104" s="302"/>
      <c r="O104" s="302"/>
      <c r="P104" s="302"/>
      <c r="Q104" s="522">
        <f t="shared" si="65"/>
        <v>34</v>
      </c>
      <c r="R104" s="42"/>
      <c r="S104" s="302"/>
      <c r="T104" s="302"/>
      <c r="U104" s="302"/>
      <c r="V104" s="302"/>
      <c r="W104" s="302"/>
      <c r="X104" s="522">
        <f t="shared" si="66"/>
        <v>34</v>
      </c>
      <c r="Y104" s="42"/>
      <c r="Z104" s="302"/>
      <c r="AA104" s="302"/>
      <c r="AB104" s="302"/>
      <c r="AC104" s="302"/>
      <c r="AD104" s="302"/>
      <c r="AE104" s="522">
        <f t="shared" si="67"/>
        <v>34</v>
      </c>
      <c r="AF104" s="42"/>
      <c r="AG104" s="302"/>
      <c r="AH104" s="302"/>
      <c r="AI104" s="302"/>
      <c r="AJ104" s="302"/>
      <c r="AK104" s="302"/>
      <c r="AL104" s="522">
        <f t="shared" si="68"/>
        <v>34</v>
      </c>
      <c r="AM104" s="42"/>
      <c r="AN104" s="302"/>
      <c r="AO104" s="302"/>
      <c r="AP104" s="302"/>
      <c r="AQ104" s="302"/>
      <c r="AR104" s="302"/>
      <c r="AS104" s="522">
        <f t="shared" si="69"/>
        <v>34</v>
      </c>
      <c r="AT104" s="42"/>
      <c r="AU104" s="302"/>
      <c r="AV104" s="302"/>
      <c r="AW104" s="302"/>
      <c r="AX104" s="302"/>
      <c r="AY104" s="302"/>
      <c r="AZ104" s="522">
        <f t="shared" si="70"/>
        <v>34</v>
      </c>
      <c r="BA104" s="42"/>
      <c r="BB104" s="302"/>
      <c r="BC104" s="302"/>
      <c r="BD104" s="302"/>
      <c r="BE104" s="302"/>
      <c r="BF104" s="302"/>
      <c r="BG104" s="522">
        <f t="shared" si="71"/>
        <v>34</v>
      </c>
      <c r="BH104" s="42"/>
      <c r="BI104" s="302"/>
      <c r="BJ104" s="302"/>
      <c r="BK104" s="302"/>
      <c r="BL104" s="302"/>
      <c r="BM104" s="302"/>
      <c r="BN104" s="522">
        <f t="shared" si="72"/>
        <v>34</v>
      </c>
      <c r="BO104" s="42"/>
      <c r="BP104" s="302"/>
      <c r="BQ104" s="302"/>
      <c r="BR104" s="302"/>
      <c r="BS104" s="302"/>
      <c r="BT104" s="302"/>
      <c r="BU104" s="522">
        <f t="shared" si="73"/>
        <v>34</v>
      </c>
      <c r="BV104" s="42"/>
      <c r="BW104" s="302"/>
      <c r="BX104" s="302"/>
      <c r="BY104" s="302"/>
      <c r="BZ104" s="302"/>
      <c r="CA104" s="302"/>
      <c r="CB104" s="522">
        <f t="shared" si="74"/>
        <v>34</v>
      </c>
      <c r="CC104" s="42"/>
      <c r="CD104" s="302"/>
      <c r="CE104" s="302"/>
      <c r="CF104" s="302"/>
      <c r="CG104" s="302"/>
      <c r="CH104" s="302"/>
      <c r="CI104" s="522">
        <f t="shared" si="75"/>
        <v>34</v>
      </c>
      <c r="CJ104" s="42"/>
      <c r="CK104" s="302"/>
      <c r="CL104" s="302"/>
      <c r="CM104" s="302"/>
      <c r="CN104" s="302"/>
      <c r="CO104" s="302"/>
      <c r="CP104" s="305">
        <f t="shared" si="76"/>
        <v>34</v>
      </c>
      <c r="CQ104" s="40"/>
    </row>
    <row r="105" spans="2:95" ht="20.399999999999999" customHeight="1">
      <c r="B105" s="1008"/>
      <c r="C105" s="309" t="s">
        <v>376</v>
      </c>
      <c r="D105" s="42"/>
      <c r="E105" s="302"/>
      <c r="F105" s="302"/>
      <c r="G105" s="302"/>
      <c r="H105" s="302"/>
      <c r="I105" s="302"/>
      <c r="J105" s="522">
        <v>9</v>
      </c>
      <c r="K105" s="42"/>
      <c r="L105" s="302"/>
      <c r="M105" s="302"/>
      <c r="N105" s="302"/>
      <c r="O105" s="302"/>
      <c r="P105" s="302"/>
      <c r="Q105" s="522">
        <f t="shared" si="65"/>
        <v>9</v>
      </c>
      <c r="R105" s="42"/>
      <c r="S105" s="302"/>
      <c r="T105" s="302"/>
      <c r="U105" s="302"/>
      <c r="V105" s="302"/>
      <c r="W105" s="302"/>
      <c r="X105" s="522">
        <f t="shared" si="66"/>
        <v>9</v>
      </c>
      <c r="Y105" s="42"/>
      <c r="Z105" s="302"/>
      <c r="AA105" s="302"/>
      <c r="AB105" s="302"/>
      <c r="AC105" s="302"/>
      <c r="AD105" s="302"/>
      <c r="AE105" s="522">
        <f t="shared" si="67"/>
        <v>9</v>
      </c>
      <c r="AF105" s="42"/>
      <c r="AG105" s="302"/>
      <c r="AH105" s="302"/>
      <c r="AI105" s="302"/>
      <c r="AJ105" s="302"/>
      <c r="AK105" s="302"/>
      <c r="AL105" s="522">
        <f t="shared" si="68"/>
        <v>9</v>
      </c>
      <c r="AM105" s="42"/>
      <c r="AN105" s="302"/>
      <c r="AO105" s="302"/>
      <c r="AP105" s="302"/>
      <c r="AQ105" s="302"/>
      <c r="AR105" s="302"/>
      <c r="AS105" s="522">
        <f t="shared" si="69"/>
        <v>9</v>
      </c>
      <c r="AT105" s="42"/>
      <c r="AU105" s="302"/>
      <c r="AV105" s="302"/>
      <c r="AW105" s="302"/>
      <c r="AX105" s="302"/>
      <c r="AY105" s="302"/>
      <c r="AZ105" s="522">
        <f t="shared" si="70"/>
        <v>9</v>
      </c>
      <c r="BA105" s="42"/>
      <c r="BB105" s="302"/>
      <c r="BC105" s="302"/>
      <c r="BD105" s="302"/>
      <c r="BE105" s="302"/>
      <c r="BF105" s="302"/>
      <c r="BG105" s="522">
        <f t="shared" si="71"/>
        <v>9</v>
      </c>
      <c r="BH105" s="42"/>
      <c r="BI105" s="302"/>
      <c r="BJ105" s="302"/>
      <c r="BK105" s="302"/>
      <c r="BL105" s="302"/>
      <c r="BM105" s="302"/>
      <c r="BN105" s="522">
        <f t="shared" si="72"/>
        <v>9</v>
      </c>
      <c r="BO105" s="42"/>
      <c r="BP105" s="302"/>
      <c r="BQ105" s="302"/>
      <c r="BR105" s="302"/>
      <c r="BS105" s="302"/>
      <c r="BT105" s="302"/>
      <c r="BU105" s="522">
        <f t="shared" si="73"/>
        <v>9</v>
      </c>
      <c r="BV105" s="42"/>
      <c r="BW105" s="302"/>
      <c r="BX105" s="302"/>
      <c r="BY105" s="302"/>
      <c r="BZ105" s="302"/>
      <c r="CA105" s="302"/>
      <c r="CB105" s="522">
        <f t="shared" si="74"/>
        <v>9</v>
      </c>
      <c r="CC105" s="42"/>
      <c r="CD105" s="302"/>
      <c r="CE105" s="302"/>
      <c r="CF105" s="302"/>
      <c r="CG105" s="302"/>
      <c r="CH105" s="302"/>
      <c r="CI105" s="522">
        <f t="shared" si="75"/>
        <v>9</v>
      </c>
      <c r="CJ105" s="42"/>
      <c r="CK105" s="302"/>
      <c r="CL105" s="302"/>
      <c r="CM105" s="302"/>
      <c r="CN105" s="302"/>
      <c r="CO105" s="302"/>
      <c r="CP105" s="305">
        <f t="shared" si="76"/>
        <v>9</v>
      </c>
      <c r="CQ105" s="40"/>
    </row>
    <row r="106" spans="2:95" ht="20.399999999999999" customHeight="1">
      <c r="B106" s="1008"/>
      <c r="C106" s="307" t="s">
        <v>377</v>
      </c>
      <c r="D106" s="42"/>
      <c r="E106" s="302"/>
      <c r="F106" s="302"/>
      <c r="G106" s="302"/>
      <c r="H106" s="302"/>
      <c r="I106" s="302"/>
      <c r="J106" s="522">
        <v>2</v>
      </c>
      <c r="K106" s="42"/>
      <c r="L106" s="302"/>
      <c r="M106" s="302"/>
      <c r="N106" s="302"/>
      <c r="O106" s="302"/>
      <c r="P106" s="302"/>
      <c r="Q106" s="522">
        <f t="shared" si="65"/>
        <v>2</v>
      </c>
      <c r="R106" s="42"/>
      <c r="S106" s="302"/>
      <c r="T106" s="302"/>
      <c r="U106" s="302"/>
      <c r="V106" s="302"/>
      <c r="W106" s="302"/>
      <c r="X106" s="522">
        <f t="shared" si="66"/>
        <v>2</v>
      </c>
      <c r="Y106" s="42"/>
      <c r="Z106" s="302"/>
      <c r="AA106" s="302"/>
      <c r="AB106" s="302"/>
      <c r="AC106" s="302"/>
      <c r="AD106" s="302"/>
      <c r="AE106" s="522">
        <f t="shared" si="67"/>
        <v>2</v>
      </c>
      <c r="AF106" s="42"/>
      <c r="AG106" s="302"/>
      <c r="AH106" s="302"/>
      <c r="AI106" s="302"/>
      <c r="AJ106" s="302"/>
      <c r="AK106" s="302"/>
      <c r="AL106" s="522">
        <f t="shared" si="68"/>
        <v>2</v>
      </c>
      <c r="AM106" s="42"/>
      <c r="AN106" s="302"/>
      <c r="AO106" s="302"/>
      <c r="AP106" s="302"/>
      <c r="AQ106" s="302"/>
      <c r="AR106" s="302"/>
      <c r="AS106" s="522">
        <f t="shared" si="69"/>
        <v>2</v>
      </c>
      <c r="AT106" s="42"/>
      <c r="AU106" s="302"/>
      <c r="AV106" s="302"/>
      <c r="AW106" s="302"/>
      <c r="AX106" s="302"/>
      <c r="AY106" s="302"/>
      <c r="AZ106" s="522">
        <f t="shared" si="70"/>
        <v>2</v>
      </c>
      <c r="BA106" s="42"/>
      <c r="BB106" s="302"/>
      <c r="BC106" s="302"/>
      <c r="BD106" s="302"/>
      <c r="BE106" s="302"/>
      <c r="BF106" s="302"/>
      <c r="BG106" s="522">
        <f t="shared" si="71"/>
        <v>2</v>
      </c>
      <c r="BH106" s="42"/>
      <c r="BI106" s="302"/>
      <c r="BJ106" s="302"/>
      <c r="BK106" s="302"/>
      <c r="BL106" s="302"/>
      <c r="BM106" s="302"/>
      <c r="BN106" s="522">
        <f t="shared" si="72"/>
        <v>2</v>
      </c>
      <c r="BO106" s="42"/>
      <c r="BP106" s="302"/>
      <c r="BQ106" s="302"/>
      <c r="BR106" s="302"/>
      <c r="BS106" s="302"/>
      <c r="BT106" s="302"/>
      <c r="BU106" s="522">
        <f t="shared" si="73"/>
        <v>2</v>
      </c>
      <c r="BV106" s="42"/>
      <c r="BW106" s="302"/>
      <c r="BX106" s="302"/>
      <c r="BY106" s="302"/>
      <c r="BZ106" s="302"/>
      <c r="CA106" s="302"/>
      <c r="CB106" s="522">
        <f t="shared" si="74"/>
        <v>2</v>
      </c>
      <c r="CC106" s="42"/>
      <c r="CD106" s="302"/>
      <c r="CE106" s="302"/>
      <c r="CF106" s="302"/>
      <c r="CG106" s="302"/>
      <c r="CH106" s="302"/>
      <c r="CI106" s="522">
        <f t="shared" si="75"/>
        <v>2</v>
      </c>
      <c r="CJ106" s="42"/>
      <c r="CK106" s="302"/>
      <c r="CL106" s="302"/>
      <c r="CM106" s="302"/>
      <c r="CN106" s="302"/>
      <c r="CO106" s="302"/>
      <c r="CP106" s="305">
        <f t="shared" si="76"/>
        <v>2</v>
      </c>
      <c r="CQ106" s="40"/>
    </row>
    <row r="107" spans="2:95" ht="20.399999999999999" customHeight="1">
      <c r="B107" s="1008"/>
      <c r="C107" s="250" t="s">
        <v>374</v>
      </c>
      <c r="D107" s="42"/>
      <c r="E107" s="302"/>
      <c r="F107" s="302"/>
      <c r="G107" s="302"/>
      <c r="H107" s="302"/>
      <c r="I107" s="302"/>
      <c r="J107" s="522">
        <v>3</v>
      </c>
      <c r="K107" s="42"/>
      <c r="L107" s="302"/>
      <c r="M107" s="302"/>
      <c r="N107" s="302"/>
      <c r="O107" s="302"/>
      <c r="P107" s="302"/>
      <c r="Q107" s="522">
        <f t="shared" si="65"/>
        <v>3</v>
      </c>
      <c r="R107" s="42"/>
      <c r="S107" s="302"/>
      <c r="T107" s="302"/>
      <c r="U107" s="302"/>
      <c r="V107" s="302"/>
      <c r="W107" s="302"/>
      <c r="X107" s="522">
        <f t="shared" si="66"/>
        <v>3</v>
      </c>
      <c r="Y107" s="42"/>
      <c r="Z107" s="302"/>
      <c r="AA107" s="302"/>
      <c r="AB107" s="302"/>
      <c r="AC107" s="302"/>
      <c r="AD107" s="302"/>
      <c r="AE107" s="522">
        <f t="shared" si="67"/>
        <v>3</v>
      </c>
      <c r="AF107" s="42"/>
      <c r="AG107" s="302"/>
      <c r="AH107" s="302"/>
      <c r="AI107" s="302"/>
      <c r="AJ107" s="302"/>
      <c r="AK107" s="302"/>
      <c r="AL107" s="522">
        <f t="shared" si="68"/>
        <v>3</v>
      </c>
      <c r="AM107" s="42"/>
      <c r="AN107" s="302"/>
      <c r="AO107" s="302"/>
      <c r="AP107" s="302"/>
      <c r="AQ107" s="302"/>
      <c r="AR107" s="302"/>
      <c r="AS107" s="522">
        <f t="shared" si="69"/>
        <v>3</v>
      </c>
      <c r="AT107" s="42"/>
      <c r="AU107" s="302"/>
      <c r="AV107" s="302"/>
      <c r="AW107" s="302"/>
      <c r="AX107" s="302"/>
      <c r="AY107" s="302"/>
      <c r="AZ107" s="522">
        <f t="shared" si="70"/>
        <v>3</v>
      </c>
      <c r="BA107" s="42"/>
      <c r="BB107" s="302"/>
      <c r="BC107" s="302"/>
      <c r="BD107" s="302"/>
      <c r="BE107" s="302"/>
      <c r="BF107" s="302"/>
      <c r="BG107" s="522">
        <f t="shared" si="71"/>
        <v>3</v>
      </c>
      <c r="BH107" s="42"/>
      <c r="BI107" s="302"/>
      <c r="BJ107" s="302"/>
      <c r="BK107" s="302"/>
      <c r="BL107" s="302"/>
      <c r="BM107" s="302"/>
      <c r="BN107" s="522">
        <f t="shared" si="72"/>
        <v>3</v>
      </c>
      <c r="BO107" s="42"/>
      <c r="BP107" s="302"/>
      <c r="BQ107" s="302"/>
      <c r="BR107" s="302"/>
      <c r="BS107" s="302"/>
      <c r="BT107" s="302"/>
      <c r="BU107" s="522">
        <f t="shared" si="73"/>
        <v>3</v>
      </c>
      <c r="BV107" s="42"/>
      <c r="BW107" s="302"/>
      <c r="BX107" s="302"/>
      <c r="BY107" s="302"/>
      <c r="BZ107" s="302"/>
      <c r="CA107" s="302"/>
      <c r="CB107" s="522">
        <f t="shared" si="74"/>
        <v>3</v>
      </c>
      <c r="CC107" s="42"/>
      <c r="CD107" s="302"/>
      <c r="CE107" s="302"/>
      <c r="CF107" s="302"/>
      <c r="CG107" s="302"/>
      <c r="CH107" s="302"/>
      <c r="CI107" s="522">
        <f t="shared" si="75"/>
        <v>3</v>
      </c>
      <c r="CJ107" s="42"/>
      <c r="CK107" s="302"/>
      <c r="CL107" s="302"/>
      <c r="CM107" s="302"/>
      <c r="CN107" s="302"/>
      <c r="CO107" s="302"/>
      <c r="CP107" s="305">
        <f t="shared" si="76"/>
        <v>3</v>
      </c>
      <c r="CQ107" s="40"/>
    </row>
    <row r="108" spans="2:95" ht="20.399999999999999" customHeight="1">
      <c r="B108" s="1008"/>
      <c r="C108" s="250" t="s">
        <v>373</v>
      </c>
      <c r="D108" s="42"/>
      <c r="E108" s="302"/>
      <c r="F108" s="302"/>
      <c r="G108" s="302"/>
      <c r="H108" s="302"/>
      <c r="I108" s="302"/>
      <c r="J108" s="522">
        <v>5</v>
      </c>
      <c r="K108" s="42"/>
      <c r="L108" s="302"/>
      <c r="M108" s="302"/>
      <c r="N108" s="302"/>
      <c r="O108" s="302"/>
      <c r="P108" s="302"/>
      <c r="Q108" s="522">
        <f t="shared" si="65"/>
        <v>5</v>
      </c>
      <c r="R108" s="42"/>
      <c r="S108" s="302"/>
      <c r="T108" s="302"/>
      <c r="U108" s="302"/>
      <c r="V108" s="302"/>
      <c r="W108" s="302"/>
      <c r="X108" s="522">
        <f t="shared" si="66"/>
        <v>5</v>
      </c>
      <c r="Y108" s="42"/>
      <c r="Z108" s="302"/>
      <c r="AA108" s="302"/>
      <c r="AB108" s="302"/>
      <c r="AC108" s="302"/>
      <c r="AD108" s="302"/>
      <c r="AE108" s="522">
        <f t="shared" si="67"/>
        <v>5</v>
      </c>
      <c r="AF108" s="42"/>
      <c r="AG108" s="302"/>
      <c r="AH108" s="302"/>
      <c r="AI108" s="302"/>
      <c r="AJ108" s="302"/>
      <c r="AK108" s="302"/>
      <c r="AL108" s="522">
        <f t="shared" si="68"/>
        <v>5</v>
      </c>
      <c r="AM108" s="42"/>
      <c r="AN108" s="302"/>
      <c r="AO108" s="302"/>
      <c r="AP108" s="302"/>
      <c r="AQ108" s="302"/>
      <c r="AR108" s="302"/>
      <c r="AS108" s="522">
        <f t="shared" si="69"/>
        <v>5</v>
      </c>
      <c r="AT108" s="42"/>
      <c r="AU108" s="302"/>
      <c r="AV108" s="302"/>
      <c r="AW108" s="302"/>
      <c r="AX108" s="302"/>
      <c r="AY108" s="302"/>
      <c r="AZ108" s="522">
        <f t="shared" si="70"/>
        <v>5</v>
      </c>
      <c r="BA108" s="42"/>
      <c r="BB108" s="302"/>
      <c r="BC108" s="302"/>
      <c r="BD108" s="302"/>
      <c r="BE108" s="302"/>
      <c r="BF108" s="302"/>
      <c r="BG108" s="522">
        <f t="shared" si="71"/>
        <v>5</v>
      </c>
      <c r="BH108" s="42"/>
      <c r="BI108" s="302"/>
      <c r="BJ108" s="302"/>
      <c r="BK108" s="302"/>
      <c r="BL108" s="302"/>
      <c r="BM108" s="302"/>
      <c r="BN108" s="522">
        <f t="shared" si="72"/>
        <v>5</v>
      </c>
      <c r="BO108" s="42"/>
      <c r="BP108" s="302"/>
      <c r="BQ108" s="302"/>
      <c r="BR108" s="302"/>
      <c r="BS108" s="302"/>
      <c r="BT108" s="302"/>
      <c r="BU108" s="522">
        <f t="shared" si="73"/>
        <v>5</v>
      </c>
      <c r="BV108" s="42"/>
      <c r="BW108" s="302"/>
      <c r="BX108" s="302"/>
      <c r="BY108" s="302"/>
      <c r="BZ108" s="302"/>
      <c r="CA108" s="302"/>
      <c r="CB108" s="522">
        <f t="shared" si="74"/>
        <v>5</v>
      </c>
      <c r="CC108" s="42"/>
      <c r="CD108" s="302"/>
      <c r="CE108" s="302"/>
      <c r="CF108" s="302"/>
      <c r="CG108" s="302"/>
      <c r="CH108" s="302"/>
      <c r="CI108" s="522">
        <f t="shared" si="75"/>
        <v>5</v>
      </c>
      <c r="CJ108" s="42"/>
      <c r="CK108" s="302"/>
      <c r="CL108" s="302"/>
      <c r="CM108" s="302"/>
      <c r="CN108" s="302"/>
      <c r="CO108" s="302"/>
      <c r="CP108" s="305">
        <f t="shared" si="76"/>
        <v>5</v>
      </c>
      <c r="CQ108" s="40"/>
    </row>
    <row r="109" spans="2:95" ht="20.399999999999999" customHeight="1">
      <c r="B109" s="1008"/>
      <c r="C109" s="250" t="s">
        <v>378</v>
      </c>
      <c r="D109" s="42"/>
      <c r="E109" s="302"/>
      <c r="F109" s="302"/>
      <c r="G109" s="302"/>
      <c r="H109" s="302"/>
      <c r="I109" s="302"/>
      <c r="J109" s="522">
        <v>3</v>
      </c>
      <c r="K109" s="42"/>
      <c r="L109" s="302"/>
      <c r="M109" s="302"/>
      <c r="N109" s="302"/>
      <c r="O109" s="302"/>
      <c r="P109" s="302"/>
      <c r="Q109" s="522">
        <f t="shared" si="65"/>
        <v>3</v>
      </c>
      <c r="R109" s="42"/>
      <c r="S109" s="302"/>
      <c r="T109" s="302"/>
      <c r="U109" s="302"/>
      <c r="V109" s="302"/>
      <c r="W109" s="302"/>
      <c r="X109" s="522">
        <f t="shared" si="66"/>
        <v>3</v>
      </c>
      <c r="Y109" s="42"/>
      <c r="Z109" s="302"/>
      <c r="AA109" s="302"/>
      <c r="AB109" s="302"/>
      <c r="AC109" s="302"/>
      <c r="AD109" s="302"/>
      <c r="AE109" s="522">
        <f t="shared" si="67"/>
        <v>3</v>
      </c>
      <c r="AF109" s="42"/>
      <c r="AG109" s="302"/>
      <c r="AH109" s="302"/>
      <c r="AI109" s="302"/>
      <c r="AJ109" s="302"/>
      <c r="AK109" s="302"/>
      <c r="AL109" s="522">
        <f t="shared" si="68"/>
        <v>3</v>
      </c>
      <c r="AM109" s="42"/>
      <c r="AN109" s="302"/>
      <c r="AO109" s="302"/>
      <c r="AP109" s="302"/>
      <c r="AQ109" s="302"/>
      <c r="AR109" s="302"/>
      <c r="AS109" s="522">
        <f t="shared" si="69"/>
        <v>3</v>
      </c>
      <c r="AT109" s="42"/>
      <c r="AU109" s="302"/>
      <c r="AV109" s="302"/>
      <c r="AW109" s="302"/>
      <c r="AX109" s="302"/>
      <c r="AY109" s="302"/>
      <c r="AZ109" s="522">
        <f t="shared" si="70"/>
        <v>3</v>
      </c>
      <c r="BA109" s="42"/>
      <c r="BB109" s="302"/>
      <c r="BC109" s="302"/>
      <c r="BD109" s="302"/>
      <c r="BE109" s="302"/>
      <c r="BF109" s="302"/>
      <c r="BG109" s="522">
        <f t="shared" si="71"/>
        <v>3</v>
      </c>
      <c r="BH109" s="42"/>
      <c r="BI109" s="302"/>
      <c r="BJ109" s="302"/>
      <c r="BK109" s="302"/>
      <c r="BL109" s="302"/>
      <c r="BM109" s="302"/>
      <c r="BN109" s="522">
        <f t="shared" si="72"/>
        <v>3</v>
      </c>
      <c r="BO109" s="42"/>
      <c r="BP109" s="302"/>
      <c r="BQ109" s="302"/>
      <c r="BR109" s="302"/>
      <c r="BS109" s="302"/>
      <c r="BT109" s="302"/>
      <c r="BU109" s="522">
        <f t="shared" si="73"/>
        <v>3</v>
      </c>
      <c r="BV109" s="42"/>
      <c r="BW109" s="302"/>
      <c r="BX109" s="302"/>
      <c r="BY109" s="302"/>
      <c r="BZ109" s="302"/>
      <c r="CA109" s="302"/>
      <c r="CB109" s="522">
        <f t="shared" si="74"/>
        <v>3</v>
      </c>
      <c r="CC109" s="42"/>
      <c r="CD109" s="302"/>
      <c r="CE109" s="302"/>
      <c r="CF109" s="302"/>
      <c r="CG109" s="302"/>
      <c r="CH109" s="302"/>
      <c r="CI109" s="522">
        <f t="shared" si="75"/>
        <v>3</v>
      </c>
      <c r="CJ109" s="42"/>
      <c r="CK109" s="302"/>
      <c r="CL109" s="302"/>
      <c r="CM109" s="302"/>
      <c r="CN109" s="302"/>
      <c r="CO109" s="302"/>
      <c r="CP109" s="305">
        <f t="shared" si="76"/>
        <v>3</v>
      </c>
      <c r="CQ109" s="40"/>
    </row>
    <row r="110" spans="2:95" ht="20.399999999999999" customHeight="1">
      <c r="B110" s="1009"/>
      <c r="C110" s="309" t="s">
        <v>379</v>
      </c>
      <c r="D110" s="42"/>
      <c r="E110" s="302"/>
      <c r="F110" s="302"/>
      <c r="G110" s="302"/>
      <c r="H110" s="302"/>
      <c r="I110" s="302"/>
      <c r="J110" s="522">
        <v>1</v>
      </c>
      <c r="K110" s="42"/>
      <c r="L110" s="302"/>
      <c r="M110" s="302"/>
      <c r="N110" s="302"/>
      <c r="O110" s="302"/>
      <c r="P110" s="302"/>
      <c r="Q110" s="522">
        <f t="shared" si="65"/>
        <v>1</v>
      </c>
      <c r="R110" s="42"/>
      <c r="S110" s="302"/>
      <c r="T110" s="302"/>
      <c r="U110" s="302"/>
      <c r="V110" s="302"/>
      <c r="W110" s="302"/>
      <c r="X110" s="522">
        <f t="shared" si="66"/>
        <v>1</v>
      </c>
      <c r="Y110" s="42"/>
      <c r="Z110" s="302"/>
      <c r="AA110" s="302"/>
      <c r="AB110" s="302"/>
      <c r="AC110" s="302"/>
      <c r="AD110" s="302"/>
      <c r="AE110" s="522">
        <f t="shared" si="67"/>
        <v>1</v>
      </c>
      <c r="AF110" s="42"/>
      <c r="AG110" s="302"/>
      <c r="AH110" s="302"/>
      <c r="AI110" s="302"/>
      <c r="AJ110" s="302"/>
      <c r="AK110" s="302"/>
      <c r="AL110" s="522">
        <f t="shared" si="68"/>
        <v>1</v>
      </c>
      <c r="AM110" s="42"/>
      <c r="AN110" s="302"/>
      <c r="AO110" s="302"/>
      <c r="AP110" s="302"/>
      <c r="AQ110" s="302"/>
      <c r="AR110" s="302"/>
      <c r="AS110" s="522">
        <f t="shared" si="69"/>
        <v>1</v>
      </c>
      <c r="AT110" s="42"/>
      <c r="AU110" s="302"/>
      <c r="AV110" s="302"/>
      <c r="AW110" s="302"/>
      <c r="AX110" s="302"/>
      <c r="AY110" s="302"/>
      <c r="AZ110" s="522">
        <f t="shared" si="70"/>
        <v>1</v>
      </c>
      <c r="BA110" s="42"/>
      <c r="BB110" s="302"/>
      <c r="BC110" s="302"/>
      <c r="BD110" s="302"/>
      <c r="BE110" s="302"/>
      <c r="BF110" s="302"/>
      <c r="BG110" s="522">
        <f t="shared" si="71"/>
        <v>1</v>
      </c>
      <c r="BH110" s="42"/>
      <c r="BI110" s="302"/>
      <c r="BJ110" s="302"/>
      <c r="BK110" s="302"/>
      <c r="BL110" s="302"/>
      <c r="BM110" s="302"/>
      <c r="BN110" s="522">
        <f t="shared" si="72"/>
        <v>1</v>
      </c>
      <c r="BO110" s="42"/>
      <c r="BP110" s="302"/>
      <c r="BQ110" s="302"/>
      <c r="BR110" s="302"/>
      <c r="BS110" s="302"/>
      <c r="BT110" s="302"/>
      <c r="BU110" s="522">
        <f t="shared" si="73"/>
        <v>1</v>
      </c>
      <c r="BV110" s="42"/>
      <c r="BW110" s="302"/>
      <c r="BX110" s="302"/>
      <c r="BY110" s="302"/>
      <c r="BZ110" s="302"/>
      <c r="CA110" s="302"/>
      <c r="CB110" s="522">
        <f t="shared" si="74"/>
        <v>1</v>
      </c>
      <c r="CC110" s="42"/>
      <c r="CD110" s="302"/>
      <c r="CE110" s="302"/>
      <c r="CF110" s="302"/>
      <c r="CG110" s="302"/>
      <c r="CH110" s="302"/>
      <c r="CI110" s="522">
        <f t="shared" si="75"/>
        <v>1</v>
      </c>
      <c r="CJ110" s="42"/>
      <c r="CK110" s="302"/>
      <c r="CL110" s="302"/>
      <c r="CM110" s="302"/>
      <c r="CN110" s="302"/>
      <c r="CO110" s="302"/>
      <c r="CP110" s="305">
        <f t="shared" si="76"/>
        <v>1</v>
      </c>
      <c r="CQ110" s="40"/>
    </row>
    <row r="112" spans="2:95" ht="39.6" customHeight="1">
      <c r="B112" s="1002" t="s">
        <v>467</v>
      </c>
      <c r="C112" s="1003"/>
      <c r="H112" s="13"/>
    </row>
  </sheetData>
  <mergeCells count="29">
    <mergeCell ref="B8:C8"/>
    <mergeCell ref="E14:J14"/>
    <mergeCell ref="L14:Q14"/>
    <mergeCell ref="S14:X14"/>
    <mergeCell ref="Z14:AE14"/>
    <mergeCell ref="B112:C112"/>
    <mergeCell ref="B74:B76"/>
    <mergeCell ref="B102:B110"/>
    <mergeCell ref="B23:B26"/>
    <mergeCell ref="B28:B31"/>
    <mergeCell ref="B80:B94"/>
    <mergeCell ref="B96:B98"/>
    <mergeCell ref="B63:B72"/>
    <mergeCell ref="B17:B21"/>
    <mergeCell ref="B54:B61"/>
    <mergeCell ref="B32:B35"/>
    <mergeCell ref="B37:B40"/>
    <mergeCell ref="B42:B44"/>
    <mergeCell ref="B46:B48"/>
    <mergeCell ref="B50:B52"/>
    <mergeCell ref="CK14:CP14"/>
    <mergeCell ref="AG14:AL14"/>
    <mergeCell ref="AN14:AS14"/>
    <mergeCell ref="AU14:AZ14"/>
    <mergeCell ref="BB14:BG14"/>
    <mergeCell ref="BI14:BN14"/>
    <mergeCell ref="BP14:BU14"/>
    <mergeCell ref="BW14:CB14"/>
    <mergeCell ref="CD14:CI14"/>
  </mergeCells>
  <printOptions horizontalCentered="1"/>
  <pageMargins left="0.25" right="0.25" top="0.5" bottom="0.5" header="0.5" footer="0.25"/>
  <pageSetup scale="49" fitToHeight="2" orientation="landscape" r:id="rId1"/>
  <headerFooter alignWithMargins="0">
    <oddFooter>&amp;RPage &amp;P
&amp;D</oddFooter>
  </headerFooter>
  <colBreaks count="4" manualBreakCount="4">
    <brk id="24" min="4" max="111" man="1"/>
    <brk id="45" min="4" max="111" man="1"/>
    <brk id="66" min="4" max="111" man="1"/>
    <brk id="88" min="4" max="111" man="1"/>
  </colBreaks>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34"/>
  <sheetViews>
    <sheetView zoomScaleNormal="100" zoomScaleSheetLayoutView="80" workbookViewId="0">
      <selection activeCell="C83" sqref="C83"/>
    </sheetView>
  </sheetViews>
  <sheetFormatPr defaultColWidth="8.88671875" defaultRowHeight="15.6"/>
  <cols>
    <col min="1" max="1" width="47.109375" style="722" bestFit="1" customWidth="1"/>
    <col min="2" max="2" width="32.33203125" style="722" bestFit="1" customWidth="1"/>
    <col min="3" max="4" width="8.44140625" style="722" bestFit="1" customWidth="1"/>
    <col min="5" max="5" width="11.6640625" style="722" bestFit="1" customWidth="1"/>
    <col min="6" max="6" width="9" style="722" bestFit="1" customWidth="1"/>
    <col min="7" max="7" width="11.33203125" style="722" bestFit="1" customWidth="1"/>
    <col min="8" max="8" width="10.88671875" style="722" bestFit="1" customWidth="1"/>
    <col min="9" max="9" width="8.5546875" style="722" bestFit="1" customWidth="1"/>
    <col min="10" max="10" width="9.6640625" style="722" bestFit="1" customWidth="1"/>
    <col min="11" max="14" width="8.44140625" style="722" bestFit="1" customWidth="1"/>
    <col min="15" max="18" width="10.44140625" style="722" bestFit="1" customWidth="1"/>
    <col min="19" max="19" width="11.109375" style="722" bestFit="1" customWidth="1"/>
    <col min="20" max="20" width="9.88671875" style="722" bestFit="1" customWidth="1"/>
    <col min="21" max="21" width="2.44140625" style="858" customWidth="1"/>
    <col min="22" max="22" width="10.5546875" style="722" customWidth="1"/>
    <col min="23" max="23" width="9.5546875" style="722" customWidth="1"/>
    <col min="24" max="24" width="13.33203125" style="722" customWidth="1"/>
    <col min="25" max="25" width="10" style="722" customWidth="1"/>
    <col min="26" max="26" width="12.33203125" style="722" customWidth="1"/>
    <col min="27" max="27" width="12.5546875" style="722" customWidth="1"/>
    <col min="28" max="28" width="10" style="722" customWidth="1"/>
    <col min="29" max="29" width="10.88671875" style="722" customWidth="1"/>
    <col min="30" max="33" width="9.88671875" style="722" customWidth="1"/>
    <col min="34" max="34" width="11.5546875" style="722" bestFit="1" customWidth="1"/>
    <col min="35" max="37" width="11.5546875" style="722" customWidth="1"/>
    <col min="38" max="38" width="12.6640625" style="722" bestFit="1" customWidth="1"/>
    <col min="39" max="39" width="4" style="858" customWidth="1"/>
    <col min="40" max="40" width="11.5546875" style="722" bestFit="1" customWidth="1"/>
    <col min="41" max="16384" width="8.88671875" style="858"/>
  </cols>
  <sheetData>
    <row r="1" spans="1:40" ht="21" customHeight="1">
      <c r="A1" s="725" t="s">
        <v>86</v>
      </c>
      <c r="B1" s="725" t="s">
        <v>495</v>
      </c>
      <c r="C1" s="897"/>
      <c r="F1" s="857"/>
      <c r="G1" s="857"/>
      <c r="H1" s="857"/>
      <c r="I1" s="857"/>
      <c r="J1" s="857"/>
      <c r="K1" s="857"/>
      <c r="L1" s="857"/>
      <c r="M1" s="857"/>
      <c r="N1" s="857"/>
      <c r="O1" s="857"/>
      <c r="P1" s="857"/>
      <c r="Q1" s="857"/>
      <c r="R1" s="857"/>
      <c r="S1" s="857"/>
      <c r="T1" s="898" t="s">
        <v>252</v>
      </c>
      <c r="V1" s="897"/>
      <c r="W1" s="857"/>
      <c r="X1" s="857"/>
      <c r="Y1" s="857"/>
      <c r="Z1" s="857"/>
      <c r="AA1" s="857"/>
      <c r="AB1" s="857"/>
      <c r="AC1" s="857"/>
      <c r="AD1" s="857"/>
      <c r="AE1" s="857"/>
      <c r="AF1" s="857"/>
      <c r="AG1" s="857"/>
      <c r="AH1" s="857"/>
      <c r="AI1" s="857"/>
      <c r="AJ1" s="857"/>
      <c r="AK1" s="857"/>
      <c r="AL1" s="857"/>
      <c r="AM1" s="899"/>
      <c r="AN1" s="898" t="s">
        <v>252</v>
      </c>
    </row>
    <row r="2" spans="1:40" s="902" customFormat="1" ht="21">
      <c r="A2" s="742" t="s">
        <v>19</v>
      </c>
      <c r="B2" s="742" t="s">
        <v>487</v>
      </c>
      <c r="C2" s="900" t="s">
        <v>8</v>
      </c>
      <c r="D2" s="900" t="s">
        <v>78</v>
      </c>
      <c r="E2" s="900" t="s">
        <v>79</v>
      </c>
      <c r="F2" s="900" t="s">
        <v>80</v>
      </c>
      <c r="G2" s="900" t="s">
        <v>81</v>
      </c>
      <c r="H2" s="900" t="s">
        <v>82</v>
      </c>
      <c r="I2" s="900" t="s">
        <v>83</v>
      </c>
      <c r="J2" s="900" t="s">
        <v>84</v>
      </c>
      <c r="K2" s="900" t="s">
        <v>85</v>
      </c>
      <c r="L2" s="900" t="s">
        <v>4</v>
      </c>
      <c r="M2" s="900" t="s">
        <v>5</v>
      </c>
      <c r="N2" s="900" t="s">
        <v>6</v>
      </c>
      <c r="O2" s="901" t="s">
        <v>110</v>
      </c>
      <c r="P2" s="901" t="s">
        <v>111</v>
      </c>
      <c r="Q2" s="901" t="s">
        <v>112</v>
      </c>
      <c r="R2" s="901" t="s">
        <v>113</v>
      </c>
      <c r="S2" s="901" t="s">
        <v>114</v>
      </c>
      <c r="T2" s="901" t="s">
        <v>243</v>
      </c>
    </row>
    <row r="3" spans="1:40" s="908" customFormat="1" ht="16.5" customHeight="1">
      <c r="A3" s="1020" t="s">
        <v>273</v>
      </c>
      <c r="B3" s="903" t="s">
        <v>187</v>
      </c>
      <c r="C3" s="904">
        <f>'3b-RM Report Data'!J74</f>
        <v>31</v>
      </c>
      <c r="D3" s="904">
        <f>'3b-RM Report Data'!Q74</f>
        <v>31</v>
      </c>
      <c r="E3" s="904">
        <f>'3b-RM Report Data'!X74</f>
        <v>30</v>
      </c>
      <c r="F3" s="904">
        <f>'3b-RM Report Data'!AE74</f>
        <v>31</v>
      </c>
      <c r="G3" s="904">
        <f>'3b-RM Report Data'!AL74</f>
        <v>29</v>
      </c>
      <c r="H3" s="904">
        <f>'3b-RM Report Data'!AS74</f>
        <v>30</v>
      </c>
      <c r="I3" s="904">
        <f>'3b-RM Report Data'!AZ74</f>
        <v>0</v>
      </c>
      <c r="J3" s="904">
        <f>'3b-RM Report Data'!BG74</f>
        <v>0</v>
      </c>
      <c r="K3" s="904">
        <f>'3b-RM Report Data'!BN74</f>
        <v>0</v>
      </c>
      <c r="L3" s="904">
        <f>'3b-RM Report Data'!BU74</f>
        <v>0</v>
      </c>
      <c r="M3" s="904">
        <f>'3b-RM Report Data'!CB74</f>
        <v>0</v>
      </c>
      <c r="N3" s="904">
        <f>'3b-RM Report Data'!CI74</f>
        <v>0</v>
      </c>
      <c r="O3" s="905">
        <f>C3+D3+E3</f>
        <v>92</v>
      </c>
      <c r="P3" s="905">
        <f>F3+G3+H3</f>
        <v>90</v>
      </c>
      <c r="Q3" s="905">
        <f>I3+J3+K3</f>
        <v>0</v>
      </c>
      <c r="R3" s="905">
        <f>L3+M3+N3</f>
        <v>0</v>
      </c>
      <c r="S3" s="906">
        <f>SUM(C3:N3)</f>
        <v>182</v>
      </c>
      <c r="T3" s="907"/>
    </row>
    <row r="4" spans="1:40" s="908" customFormat="1" ht="30.75" customHeight="1">
      <c r="A4" s="1021"/>
      <c r="B4" s="909" t="s">
        <v>336</v>
      </c>
      <c r="C4" s="910">
        <f>'3b-RM Report Data'!J102</f>
        <v>34</v>
      </c>
      <c r="D4" s="910">
        <f>'3b-RM Report Data'!Q102</f>
        <v>34</v>
      </c>
      <c r="E4" s="910">
        <f>'3b-RM Report Data'!X102</f>
        <v>34</v>
      </c>
      <c r="F4" s="910">
        <f>'3b-RM Report Data'!AE102</f>
        <v>34</v>
      </c>
      <c r="G4" s="910">
        <f>'3b-RM Report Data'!AL102</f>
        <v>34</v>
      </c>
      <c r="H4" s="910">
        <f>'3b-RM Report Data'!AS102</f>
        <v>34</v>
      </c>
      <c r="I4" s="910">
        <f>'3b-RM Report Data'!AZ102</f>
        <v>34</v>
      </c>
      <c r="J4" s="910">
        <f>'3b-RM Report Data'!BG102</f>
        <v>34</v>
      </c>
      <c r="K4" s="910">
        <f>'3b-RM Report Data'!BN102</f>
        <v>34</v>
      </c>
      <c r="L4" s="910">
        <f>'3b-RM Report Data'!BU102</f>
        <v>34</v>
      </c>
      <c r="M4" s="910">
        <f>'3b-RM Report Data'!CB102</f>
        <v>34</v>
      </c>
      <c r="N4" s="910">
        <f>'3b-RM Report Data'!CI102</f>
        <v>34</v>
      </c>
      <c r="O4" s="911">
        <f>MAX(C4,D4,E4)</f>
        <v>34</v>
      </c>
      <c r="P4" s="911">
        <f>MAX(F4,G4,H4)</f>
        <v>34</v>
      </c>
      <c r="Q4" s="911">
        <f>MAX(I4,J4,K4)</f>
        <v>34</v>
      </c>
      <c r="R4" s="911">
        <f>MAX(L4,M4,N4)</f>
        <v>34</v>
      </c>
      <c r="S4" s="912">
        <f>MAX(C4:N4)</f>
        <v>34</v>
      </c>
      <c r="T4" s="907"/>
    </row>
    <row r="5" spans="1:40" s="913" customFormat="1" ht="30.75" customHeight="1">
      <c r="A5" s="1021" t="s">
        <v>298</v>
      </c>
      <c r="B5" s="909" t="s">
        <v>337</v>
      </c>
      <c r="C5" s="910">
        <f>'3b-RM Report Data'!J103</f>
        <v>42</v>
      </c>
      <c r="D5" s="910">
        <f>'3b-RM Report Data'!Q103</f>
        <v>42</v>
      </c>
      <c r="E5" s="910">
        <f>'3b-RM Report Data'!X103</f>
        <v>42</v>
      </c>
      <c r="F5" s="910">
        <f>'3b-RM Report Data'!AE103</f>
        <v>42</v>
      </c>
      <c r="G5" s="910">
        <f>'3b-RM Report Data'!AL103</f>
        <v>42</v>
      </c>
      <c r="H5" s="910">
        <f>'3b-RM Report Data'!AS103</f>
        <v>42</v>
      </c>
      <c r="I5" s="910">
        <f>'3b-RM Report Data'!AZ103</f>
        <v>42</v>
      </c>
      <c r="J5" s="910">
        <f>'3b-RM Report Data'!BG103</f>
        <v>42</v>
      </c>
      <c r="K5" s="910">
        <f>'3b-RM Report Data'!BN103</f>
        <v>42</v>
      </c>
      <c r="L5" s="910">
        <f>'3b-RM Report Data'!BU103</f>
        <v>42</v>
      </c>
      <c r="M5" s="910">
        <f>'3b-RM Report Data'!CB103</f>
        <v>42</v>
      </c>
      <c r="N5" s="910">
        <f>'3b-RM Report Data'!CI103</f>
        <v>42</v>
      </c>
      <c r="O5" s="911">
        <f t="shared" ref="O5:O6" si="0">MAX(C5,D5,E5)</f>
        <v>42</v>
      </c>
      <c r="P5" s="911">
        <f t="shared" ref="P5:P6" si="1">MAX(F5,G5,H5)</f>
        <v>42</v>
      </c>
      <c r="Q5" s="911">
        <f t="shared" ref="Q5:Q6" si="2">MAX(I5,J5,K5)</f>
        <v>42</v>
      </c>
      <c r="R5" s="911">
        <f t="shared" ref="R5:R6" si="3">MAX(L5,M5,N5)</f>
        <v>42</v>
      </c>
      <c r="S5" s="912">
        <f t="shared" ref="S5:S6" si="4">MAX(C5:N5)</f>
        <v>42</v>
      </c>
      <c r="T5" s="907"/>
    </row>
    <row r="6" spans="1:40" s="908" customFormat="1" ht="20.25" customHeight="1" thickBot="1">
      <c r="A6" s="1022"/>
      <c r="B6" s="914" t="s">
        <v>244</v>
      </c>
      <c r="C6" s="915">
        <f>'3b-RM Report Data'!J104</f>
        <v>34</v>
      </c>
      <c r="D6" s="915">
        <f>'3b-RM Report Data'!Q104</f>
        <v>34</v>
      </c>
      <c r="E6" s="915">
        <f>'3b-RM Report Data'!X104</f>
        <v>34</v>
      </c>
      <c r="F6" s="915">
        <f>'3b-RM Report Data'!AE104</f>
        <v>34</v>
      </c>
      <c r="G6" s="915">
        <f>'3b-RM Report Data'!AL104</f>
        <v>34</v>
      </c>
      <c r="H6" s="915">
        <f>'3b-RM Report Data'!AS104</f>
        <v>34</v>
      </c>
      <c r="I6" s="915">
        <f>'3b-RM Report Data'!AZ104</f>
        <v>34</v>
      </c>
      <c r="J6" s="915">
        <f>'3b-RM Report Data'!BG104</f>
        <v>34</v>
      </c>
      <c r="K6" s="915">
        <f>'3b-RM Report Data'!BN104</f>
        <v>34</v>
      </c>
      <c r="L6" s="915">
        <f>'3b-RM Report Data'!BU104</f>
        <v>34</v>
      </c>
      <c r="M6" s="915">
        <f>'3b-RM Report Data'!CB104</f>
        <v>34</v>
      </c>
      <c r="N6" s="915">
        <f>'3b-RM Report Data'!CI104</f>
        <v>34</v>
      </c>
      <c r="O6" s="915">
        <f t="shared" si="0"/>
        <v>34</v>
      </c>
      <c r="P6" s="915">
        <f t="shared" si="1"/>
        <v>34</v>
      </c>
      <c r="Q6" s="915">
        <f t="shared" si="2"/>
        <v>34</v>
      </c>
      <c r="R6" s="915">
        <f t="shared" si="3"/>
        <v>34</v>
      </c>
      <c r="S6" s="916">
        <f t="shared" si="4"/>
        <v>34</v>
      </c>
      <c r="T6" s="917"/>
    </row>
    <row r="7" spans="1:40" s="924" customFormat="1" ht="16.5" customHeight="1">
      <c r="A7" s="918" t="s">
        <v>248</v>
      </c>
      <c r="B7" s="919" t="s">
        <v>45</v>
      </c>
      <c r="C7" s="904">
        <f>'3b-RM Report Data'!J68</f>
        <v>7294.82</v>
      </c>
      <c r="D7" s="904">
        <f>'3b-RM Report Data'!Q68</f>
        <v>7340.08</v>
      </c>
      <c r="E7" s="904">
        <f>'3b-RM Report Data'!X68</f>
        <v>6609.45</v>
      </c>
      <c r="F7" s="904">
        <f>'3b-RM Report Data'!AE68</f>
        <v>7400.6</v>
      </c>
      <c r="G7" s="904">
        <f>'3b-RM Report Data'!AL68</f>
        <v>6297.58</v>
      </c>
      <c r="H7" s="904">
        <f>'3b-RM Report Data'!AS68</f>
        <v>6297.03</v>
      </c>
      <c r="I7" s="904">
        <f>'3b-RM Report Data'!AZ68</f>
        <v>0</v>
      </c>
      <c r="J7" s="904">
        <f>'3b-RM Report Data'!BG68</f>
        <v>0</v>
      </c>
      <c r="K7" s="904">
        <f>'3b-RM Report Data'!BN68</f>
        <v>0</v>
      </c>
      <c r="L7" s="904">
        <f>'3b-RM Report Data'!BU68</f>
        <v>0</v>
      </c>
      <c r="M7" s="904">
        <f>'3b-RM Report Data'!CB68</f>
        <v>0</v>
      </c>
      <c r="N7" s="904">
        <f>'3b-RM Report Data'!CI68</f>
        <v>0</v>
      </c>
      <c r="O7" s="920">
        <f>SUM(C7:E7)</f>
        <v>21244.35</v>
      </c>
      <c r="P7" s="921">
        <f t="shared" ref="P7:P12" si="5">SUM(F7:H7)</f>
        <v>19995.21</v>
      </c>
      <c r="Q7" s="921">
        <f t="shared" ref="Q7:Q12" si="6">SUM(I7:K7)</f>
        <v>0</v>
      </c>
      <c r="R7" s="921">
        <f>SUM(L7:N7)</f>
        <v>0</v>
      </c>
      <c r="S7" s="922">
        <f t="shared" ref="S7:S11" si="7">SUM(C7:N7)</f>
        <v>41239.56</v>
      </c>
      <c r="T7" s="923"/>
    </row>
    <row r="8" spans="1:40" s="924" customFormat="1" ht="16.5" customHeight="1">
      <c r="A8" s="925" t="s">
        <v>245</v>
      </c>
      <c r="B8" s="903" t="s">
        <v>46</v>
      </c>
      <c r="C8" s="904">
        <f>ROUND(Miles!C28,0)</f>
        <v>124232</v>
      </c>
      <c r="D8" s="904">
        <f>ROUND(Miles!D28,0)</f>
        <v>127770</v>
      </c>
      <c r="E8" s="904">
        <f>ROUND(Miles!E28,0)</f>
        <v>116338</v>
      </c>
      <c r="F8" s="904">
        <f>ROUND(Miles!F28,0)</f>
        <v>131496</v>
      </c>
      <c r="G8" s="904">
        <f>ROUND(Miles!G28,0)</f>
        <v>108468</v>
      </c>
      <c r="H8" s="904">
        <f>ROUND(Miles!H28,0)</f>
        <v>108532</v>
      </c>
      <c r="I8" s="904">
        <f>ROUND(Miles!I28,0)</f>
        <v>0</v>
      </c>
      <c r="J8" s="904">
        <f>ROUND(Miles!J28,0)</f>
        <v>0</v>
      </c>
      <c r="K8" s="904">
        <f>ROUND(Miles!K28,0)</f>
        <v>0</v>
      </c>
      <c r="L8" s="904">
        <f>ROUND(Miles!L28,0)</f>
        <v>0</v>
      </c>
      <c r="M8" s="904">
        <f>ROUND(Miles!M28,0)</f>
        <v>0</v>
      </c>
      <c r="N8" s="904">
        <f>ROUND(Miles!N28,0)</f>
        <v>0</v>
      </c>
      <c r="O8" s="920">
        <f t="shared" ref="O8:O12" si="8">SUM(C8:E8)</f>
        <v>368340</v>
      </c>
      <c r="P8" s="921">
        <f t="shared" si="5"/>
        <v>348496</v>
      </c>
      <c r="Q8" s="921">
        <f t="shared" si="6"/>
        <v>0</v>
      </c>
      <c r="R8" s="921">
        <f t="shared" ref="R8:R12" si="9">SUM(L8:N8)</f>
        <v>0</v>
      </c>
      <c r="S8" s="922">
        <f t="shared" si="7"/>
        <v>716836</v>
      </c>
      <c r="T8" s="907"/>
    </row>
    <row r="9" spans="1:40" s="924" customFormat="1" ht="16.5" customHeight="1">
      <c r="A9" s="925" t="s">
        <v>249</v>
      </c>
      <c r="B9" s="926" t="s">
        <v>109</v>
      </c>
      <c r="C9" s="904">
        <f>'3b-RM Report Data'!J69</f>
        <v>5509.4</v>
      </c>
      <c r="D9" s="904">
        <f>'3b-RM Report Data'!Q69</f>
        <v>5692.15</v>
      </c>
      <c r="E9" s="904">
        <f>'3b-RM Report Data'!X69</f>
        <v>5199.12</v>
      </c>
      <c r="F9" s="904">
        <f>'3b-RM Report Data'!AE69</f>
        <v>5887.18</v>
      </c>
      <c r="G9" s="904">
        <f>'3b-RM Report Data'!AL69</f>
        <v>4809.2</v>
      </c>
      <c r="H9" s="904">
        <f>'3b-RM Report Data'!AS69</f>
        <v>4840.67</v>
      </c>
      <c r="I9" s="904">
        <f>'3b-RM Report Data'!AZ69</f>
        <v>0</v>
      </c>
      <c r="J9" s="904">
        <f>'3b-RM Report Data'!BG69</f>
        <v>0</v>
      </c>
      <c r="K9" s="904">
        <f>'3b-RM Report Data'!BN69</f>
        <v>0</v>
      </c>
      <c r="L9" s="904">
        <f>'3b-RM Report Data'!BU69</f>
        <v>0</v>
      </c>
      <c r="M9" s="904">
        <f>'3b-RM Report Data'!CB69</f>
        <v>0</v>
      </c>
      <c r="N9" s="904">
        <f>'3b-RM Report Data'!CI69</f>
        <v>0</v>
      </c>
      <c r="O9" s="920">
        <f t="shared" si="8"/>
        <v>16400.669999999998</v>
      </c>
      <c r="P9" s="921">
        <f t="shared" si="5"/>
        <v>15537.050000000001</v>
      </c>
      <c r="Q9" s="921">
        <f t="shared" si="6"/>
        <v>0</v>
      </c>
      <c r="R9" s="921">
        <f t="shared" si="9"/>
        <v>0</v>
      </c>
      <c r="S9" s="922">
        <f t="shared" si="7"/>
        <v>31937.72</v>
      </c>
      <c r="T9" s="907"/>
    </row>
    <row r="10" spans="1:40" s="924" customFormat="1" ht="16.5" customHeight="1">
      <c r="A10" s="925" t="s">
        <v>246</v>
      </c>
      <c r="B10" s="926" t="s">
        <v>47</v>
      </c>
      <c r="C10" s="904">
        <f>'3b-RM Report Data'!J66</f>
        <v>97974</v>
      </c>
      <c r="D10" s="904">
        <f>'3b-RM Report Data'!Q66</f>
        <v>102140</v>
      </c>
      <c r="E10" s="904">
        <f>'3b-RM Report Data'!X66</f>
        <v>94250</v>
      </c>
      <c r="F10" s="904">
        <f>'3b-RM Report Data'!AE66</f>
        <v>106728</v>
      </c>
      <c r="G10" s="904">
        <f>'3b-RM Report Data'!AL66</f>
        <v>85967</v>
      </c>
      <c r="H10" s="904">
        <f>'3b-RM Report Data'!AS66</f>
        <v>86544</v>
      </c>
      <c r="I10" s="904">
        <f>'3b-RM Report Data'!AZ66</f>
        <v>0</v>
      </c>
      <c r="J10" s="904">
        <f>'3b-RM Report Data'!BG66</f>
        <v>0</v>
      </c>
      <c r="K10" s="904">
        <f>'3b-RM Report Data'!BN66</f>
        <v>0</v>
      </c>
      <c r="L10" s="904">
        <f>'3b-RM Report Data'!BU66</f>
        <v>0</v>
      </c>
      <c r="M10" s="904">
        <f>'3b-RM Report Data'!CB66</f>
        <v>0</v>
      </c>
      <c r="N10" s="904">
        <f>'3b-RM Report Data'!CI66</f>
        <v>0</v>
      </c>
      <c r="O10" s="920">
        <f t="shared" si="8"/>
        <v>294364</v>
      </c>
      <c r="P10" s="921">
        <f t="shared" si="5"/>
        <v>279239</v>
      </c>
      <c r="Q10" s="921">
        <f t="shared" si="6"/>
        <v>0</v>
      </c>
      <c r="R10" s="921">
        <f t="shared" si="9"/>
        <v>0</v>
      </c>
      <c r="S10" s="922">
        <f t="shared" si="7"/>
        <v>573603</v>
      </c>
      <c r="T10" s="907"/>
    </row>
    <row r="11" spans="1:40" s="908" customFormat="1" ht="16.5" customHeight="1">
      <c r="A11" s="925" t="s">
        <v>251</v>
      </c>
      <c r="B11" s="926" t="s">
        <v>241</v>
      </c>
      <c r="C11" s="904">
        <f>'3b-RM Report Data'!J67</f>
        <v>142300</v>
      </c>
      <c r="D11" s="904">
        <f>'3b-RM Report Data'!Q67</f>
        <v>147668</v>
      </c>
      <c r="E11" s="904">
        <f>'3b-RM Report Data'!X67</f>
        <v>134647</v>
      </c>
      <c r="F11" s="904">
        <f>'3b-RM Report Data'!AE67</f>
        <v>154146</v>
      </c>
      <c r="G11" s="904">
        <f>'3b-RM Report Data'!AL67</f>
        <v>127995</v>
      </c>
      <c r="H11" s="904">
        <f>'3b-RM Report Data'!AS67</f>
        <v>125025</v>
      </c>
      <c r="I11" s="904">
        <f>'3b-RM Report Data'!AZ67</f>
        <v>0</v>
      </c>
      <c r="J11" s="904">
        <f>'3b-RM Report Data'!BG67</f>
        <v>0</v>
      </c>
      <c r="K11" s="904">
        <f>'3b-RM Report Data'!BN67</f>
        <v>0</v>
      </c>
      <c r="L11" s="904">
        <f>'3b-RM Report Data'!BU67</f>
        <v>0</v>
      </c>
      <c r="M11" s="904">
        <f>'3b-RM Report Data'!CB67</f>
        <v>0</v>
      </c>
      <c r="N11" s="904">
        <f>'3b-RM Report Data'!CI67</f>
        <v>0</v>
      </c>
      <c r="O11" s="920">
        <f t="shared" si="8"/>
        <v>424615</v>
      </c>
      <c r="P11" s="921">
        <f t="shared" si="5"/>
        <v>407166</v>
      </c>
      <c r="Q11" s="921">
        <f t="shared" si="6"/>
        <v>0</v>
      </c>
      <c r="R11" s="921">
        <f t="shared" si="9"/>
        <v>0</v>
      </c>
      <c r="S11" s="922">
        <f t="shared" si="7"/>
        <v>831781</v>
      </c>
      <c r="T11" s="907"/>
    </row>
    <row r="12" spans="1:40" s="924" customFormat="1" ht="16.5" customHeight="1">
      <c r="A12" s="925" t="s">
        <v>260</v>
      </c>
      <c r="B12" s="903" t="s">
        <v>115</v>
      </c>
      <c r="C12" s="922">
        <f>Trips!H28</f>
        <v>13721</v>
      </c>
      <c r="D12" s="922">
        <f>Trips!O28</f>
        <v>14302</v>
      </c>
      <c r="E12" s="922">
        <f>Trips!V28</f>
        <v>13100</v>
      </c>
      <c r="F12" s="922">
        <f>Trips!AC28</f>
        <v>14931</v>
      </c>
      <c r="G12" s="922">
        <f>Trips!AJ28</f>
        <v>12274</v>
      </c>
      <c r="H12" s="922">
        <f>Trips!AQ28</f>
        <v>12170.206</v>
      </c>
      <c r="I12" s="922">
        <f>Trips!AX28</f>
        <v>0</v>
      </c>
      <c r="J12" s="922">
        <f>Trips!BE28</f>
        <v>0</v>
      </c>
      <c r="K12" s="922">
        <f>Trips!BL28</f>
        <v>0</v>
      </c>
      <c r="L12" s="922">
        <f>Trips!BS28</f>
        <v>0</v>
      </c>
      <c r="M12" s="922">
        <f>Trips!BZ28</f>
        <v>0</v>
      </c>
      <c r="N12" s="922">
        <f>Trips!CG28</f>
        <v>0</v>
      </c>
      <c r="O12" s="920">
        <f t="shared" si="8"/>
        <v>41123</v>
      </c>
      <c r="P12" s="921">
        <f t="shared" si="5"/>
        <v>39375.205999999998</v>
      </c>
      <c r="Q12" s="921">
        <f t="shared" si="6"/>
        <v>0</v>
      </c>
      <c r="R12" s="921">
        <f t="shared" si="9"/>
        <v>0</v>
      </c>
      <c r="S12" s="922">
        <f>SUM(C12:N12)</f>
        <v>80498.206000000006</v>
      </c>
      <c r="T12" s="907"/>
    </row>
    <row r="13" spans="1:40" ht="6" customHeight="1">
      <c r="A13" s="927"/>
      <c r="B13" s="928"/>
      <c r="C13" s="928"/>
      <c r="D13" s="928"/>
      <c r="E13" s="928"/>
      <c r="F13" s="928"/>
      <c r="G13" s="928"/>
      <c r="H13" s="928"/>
      <c r="I13" s="928"/>
      <c r="J13" s="928"/>
      <c r="K13" s="928"/>
      <c r="L13" s="928"/>
      <c r="M13" s="928"/>
      <c r="N13" s="928"/>
      <c r="O13" s="929"/>
      <c r="P13" s="929"/>
      <c r="Q13" s="929"/>
      <c r="R13" s="929"/>
      <c r="S13" s="930"/>
      <c r="T13" s="931"/>
    </row>
    <row r="14" spans="1:40" s="924" customFormat="1" ht="16.5" customHeight="1">
      <c r="A14" s="1023" t="s">
        <v>329</v>
      </c>
      <c r="B14" s="919" t="s">
        <v>45</v>
      </c>
      <c r="C14" s="904">
        <f>'3b-RM Report Data'!J34</f>
        <v>2470</v>
      </c>
      <c r="D14" s="904">
        <f>'3b-RM Report Data'!Q34</f>
        <v>2360</v>
      </c>
      <c r="E14" s="904">
        <f>'3b-RM Report Data'!X34</f>
        <v>2180</v>
      </c>
      <c r="F14" s="904">
        <f>'3b-RM Report Data'!AE34</f>
        <v>2314</v>
      </c>
      <c r="G14" s="904">
        <f>'3b-RM Report Data'!AL34</f>
        <v>2019</v>
      </c>
      <c r="H14" s="904">
        <f>'3b-RM Report Data'!AS34</f>
        <v>1985</v>
      </c>
      <c r="I14" s="904">
        <f>'3b-RM Report Data'!AZ34</f>
        <v>0</v>
      </c>
      <c r="J14" s="904">
        <f>'3b-RM Report Data'!BG34</f>
        <v>0</v>
      </c>
      <c r="K14" s="904">
        <f>'3b-RM Report Data'!BN34</f>
        <v>0</v>
      </c>
      <c r="L14" s="904">
        <f>'3b-RM Report Data'!BU34</f>
        <v>0</v>
      </c>
      <c r="M14" s="904">
        <f>'3b-RM Report Data'!CB34</f>
        <v>0</v>
      </c>
      <c r="N14" s="904">
        <f>'3b-RM Report Data'!CI34</f>
        <v>0</v>
      </c>
      <c r="O14" s="920">
        <f>SUM(C14:E14)</f>
        <v>7010</v>
      </c>
      <c r="P14" s="921">
        <f t="shared" ref="P14:P19" si="10">SUM(F14:H14)</f>
        <v>6318</v>
      </c>
      <c r="Q14" s="921">
        <f t="shared" ref="Q14:Q19" si="11">SUM(I14:K14)</f>
        <v>0</v>
      </c>
      <c r="R14" s="921">
        <f>SUM(L14:N14)</f>
        <v>0</v>
      </c>
      <c r="S14" s="922">
        <f t="shared" ref="S14:S19" si="12">SUM(C14:N14)</f>
        <v>13328</v>
      </c>
      <c r="T14" s="923"/>
    </row>
    <row r="15" spans="1:40" s="924" customFormat="1" ht="16.5" customHeight="1">
      <c r="A15" s="1024"/>
      <c r="B15" s="903" t="s">
        <v>279</v>
      </c>
      <c r="C15" s="904">
        <f>ROUND(Miles!C7+Miles!C8,0)</f>
        <v>40525</v>
      </c>
      <c r="D15" s="904">
        <f>ROUND(Miles!D7+Miles!D8,0)</f>
        <v>39977</v>
      </c>
      <c r="E15" s="904">
        <f>ROUND(Miles!E7+Miles!E8,0)</f>
        <v>37388</v>
      </c>
      <c r="F15" s="904">
        <f>ROUND(Miles!F7+Miles!F8,0)</f>
        <v>40513</v>
      </c>
      <c r="G15" s="904">
        <f>ROUND(Miles!G7+Miles!G8,0)</f>
        <v>34100</v>
      </c>
      <c r="H15" s="904">
        <f>ROUND(Miles!H7+Miles!H8,0)</f>
        <v>33431</v>
      </c>
      <c r="I15" s="904">
        <f>ROUND(Miles!I7+Miles!I8,0)</f>
        <v>0</v>
      </c>
      <c r="J15" s="904">
        <f>ROUND(Miles!J7+Miles!J8,0)</f>
        <v>0</v>
      </c>
      <c r="K15" s="904">
        <f>ROUND(Miles!K7+Miles!K8,0)</f>
        <v>0</v>
      </c>
      <c r="L15" s="904">
        <f>ROUND(Miles!L7+Miles!L8,0)</f>
        <v>0</v>
      </c>
      <c r="M15" s="904">
        <f>ROUND(Miles!M7+Miles!M8,0)</f>
        <v>0</v>
      </c>
      <c r="N15" s="904">
        <f>ROUND(Miles!N7+Miles!N8,0)</f>
        <v>0</v>
      </c>
      <c r="O15" s="920">
        <f t="shared" ref="O15:O19" si="13">SUM(C15:E15)</f>
        <v>117890</v>
      </c>
      <c r="P15" s="921">
        <f t="shared" si="10"/>
        <v>108044</v>
      </c>
      <c r="Q15" s="921">
        <f t="shared" si="11"/>
        <v>0</v>
      </c>
      <c r="R15" s="921">
        <f t="shared" ref="R15:R19" si="14">SUM(L15:N15)</f>
        <v>0</v>
      </c>
      <c r="S15" s="922">
        <f t="shared" si="12"/>
        <v>225934</v>
      </c>
      <c r="T15" s="907"/>
    </row>
    <row r="16" spans="1:40" s="924" customFormat="1" ht="16.5" customHeight="1">
      <c r="A16" s="1024"/>
      <c r="B16" s="926" t="s">
        <v>109</v>
      </c>
      <c r="C16" s="904">
        <f>'3b-RM Report Data'!J35</f>
        <v>1818</v>
      </c>
      <c r="D16" s="904">
        <f>'3b-RM Report Data'!Q35</f>
        <v>1822</v>
      </c>
      <c r="E16" s="904">
        <f>'3b-RM Report Data'!X35</f>
        <v>1686</v>
      </c>
      <c r="F16" s="904">
        <f>'3b-RM Report Data'!AE35</f>
        <v>1824</v>
      </c>
      <c r="G16" s="904">
        <f>'3b-RM Report Data'!AL35</f>
        <v>1504</v>
      </c>
      <c r="H16" s="904">
        <f>'3b-RM Report Data'!AS35</f>
        <v>1502</v>
      </c>
      <c r="I16" s="904">
        <f>'3b-RM Report Data'!AZ35</f>
        <v>0</v>
      </c>
      <c r="J16" s="904">
        <f>'3b-RM Report Data'!BG35</f>
        <v>0</v>
      </c>
      <c r="K16" s="904">
        <f>'3b-RM Report Data'!BN35</f>
        <v>0</v>
      </c>
      <c r="L16" s="904">
        <f>'3b-RM Report Data'!BU35</f>
        <v>0</v>
      </c>
      <c r="M16" s="904">
        <f>'3b-RM Report Data'!CB35</f>
        <v>0</v>
      </c>
      <c r="N16" s="904">
        <f>'3b-RM Report Data'!CI35</f>
        <v>0</v>
      </c>
      <c r="O16" s="920">
        <f t="shared" si="13"/>
        <v>5326</v>
      </c>
      <c r="P16" s="921">
        <f t="shared" si="10"/>
        <v>4830</v>
      </c>
      <c r="Q16" s="921">
        <f t="shared" si="11"/>
        <v>0</v>
      </c>
      <c r="R16" s="921">
        <f t="shared" si="14"/>
        <v>0</v>
      </c>
      <c r="S16" s="922">
        <f t="shared" si="12"/>
        <v>10156</v>
      </c>
      <c r="T16" s="907"/>
    </row>
    <row r="17" spans="1:20" s="924" customFormat="1" ht="16.5" customHeight="1">
      <c r="A17" s="1024"/>
      <c r="B17" s="926" t="s">
        <v>47</v>
      </c>
      <c r="C17" s="904">
        <f>'3b-RM Report Data'!J32</f>
        <v>31874</v>
      </c>
      <c r="D17" s="904">
        <f>'3b-RM Report Data'!Q32</f>
        <v>31984</v>
      </c>
      <c r="E17" s="904">
        <f>'3b-RM Report Data'!X32</f>
        <v>30209</v>
      </c>
      <c r="F17" s="904">
        <f>'3b-RM Report Data'!AE32</f>
        <v>32677</v>
      </c>
      <c r="G17" s="904">
        <f>'3b-RM Report Data'!AL32</f>
        <v>26651</v>
      </c>
      <c r="H17" s="904">
        <f>'3b-RM Report Data'!AS32</f>
        <v>26544</v>
      </c>
      <c r="I17" s="904">
        <f>'3b-RM Report Data'!AZ32</f>
        <v>0</v>
      </c>
      <c r="J17" s="904">
        <f>'3b-RM Report Data'!BG32</f>
        <v>0</v>
      </c>
      <c r="K17" s="904">
        <f>'3b-RM Report Data'!BN32</f>
        <v>0</v>
      </c>
      <c r="L17" s="904">
        <f>'3b-RM Report Data'!BU32</f>
        <v>0</v>
      </c>
      <c r="M17" s="904">
        <f>'3b-RM Report Data'!CB32</f>
        <v>0</v>
      </c>
      <c r="N17" s="904">
        <f>'3b-RM Report Data'!CI32</f>
        <v>0</v>
      </c>
      <c r="O17" s="920">
        <f t="shared" si="13"/>
        <v>94067</v>
      </c>
      <c r="P17" s="921">
        <f t="shared" si="10"/>
        <v>85872</v>
      </c>
      <c r="Q17" s="921">
        <f t="shared" si="11"/>
        <v>0</v>
      </c>
      <c r="R17" s="921">
        <f t="shared" si="14"/>
        <v>0</v>
      </c>
      <c r="S17" s="922">
        <f t="shared" si="12"/>
        <v>179939</v>
      </c>
      <c r="T17" s="907"/>
    </row>
    <row r="18" spans="1:20" s="924" customFormat="1" ht="16.5" customHeight="1">
      <c r="A18" s="1024"/>
      <c r="B18" s="926" t="s">
        <v>241</v>
      </c>
      <c r="C18" s="904">
        <f>'3b-RM Report Data'!J33</f>
        <v>36839</v>
      </c>
      <c r="D18" s="904">
        <f>'3b-RM Report Data'!Q33</f>
        <v>36003</v>
      </c>
      <c r="E18" s="904">
        <f>'3b-RM Report Data'!X33</f>
        <v>32486</v>
      </c>
      <c r="F18" s="904">
        <f>'3b-RM Report Data'!AE33</f>
        <v>37567</v>
      </c>
      <c r="G18" s="904">
        <f>'3b-RM Report Data'!AL33</f>
        <v>30389</v>
      </c>
      <c r="H18" s="904">
        <f>'3b-RM Report Data'!AS33</f>
        <v>31175</v>
      </c>
      <c r="I18" s="904">
        <f>'3b-RM Report Data'!AZ33</f>
        <v>0</v>
      </c>
      <c r="J18" s="904">
        <f>'3b-RM Report Data'!BG33</f>
        <v>0</v>
      </c>
      <c r="K18" s="904">
        <f>'3b-RM Report Data'!BN33</f>
        <v>0</v>
      </c>
      <c r="L18" s="904">
        <f>'3b-RM Report Data'!BU33</f>
        <v>0</v>
      </c>
      <c r="M18" s="904">
        <f>'3b-RM Report Data'!CB33</f>
        <v>0</v>
      </c>
      <c r="N18" s="904">
        <f>'3b-RM Report Data'!CI33</f>
        <v>0</v>
      </c>
      <c r="O18" s="920">
        <f t="shared" si="13"/>
        <v>105328</v>
      </c>
      <c r="P18" s="921">
        <f t="shared" si="10"/>
        <v>99131</v>
      </c>
      <c r="Q18" s="921">
        <f t="shared" si="11"/>
        <v>0</v>
      </c>
      <c r="R18" s="921">
        <f t="shared" si="14"/>
        <v>0</v>
      </c>
      <c r="S18" s="922">
        <f t="shared" si="12"/>
        <v>204459</v>
      </c>
      <c r="T18" s="907"/>
    </row>
    <row r="19" spans="1:20" s="924" customFormat="1" ht="16.5" customHeight="1">
      <c r="A19" s="1025"/>
      <c r="B19" s="926" t="s">
        <v>115</v>
      </c>
      <c r="C19" s="922">
        <f>Trips!H7+Trips!H8</f>
        <v>3938</v>
      </c>
      <c r="D19" s="922">
        <f>Trips!O7+Trips!O8</f>
        <v>3898</v>
      </c>
      <c r="E19" s="904">
        <f>Trips!V7+Trips!V8</f>
        <v>3668</v>
      </c>
      <c r="F19" s="904">
        <f>Trips!AC7+Trips!AC8</f>
        <v>4086</v>
      </c>
      <c r="G19" s="904">
        <f>Trips!AJ7+Trips!AJ8</f>
        <v>3320</v>
      </c>
      <c r="H19" s="904">
        <f>Trips!AQ7+Trips!AQ8</f>
        <v>3497</v>
      </c>
      <c r="I19" s="904">
        <f>Trips!AX7+Trips!AX8</f>
        <v>0</v>
      </c>
      <c r="J19" s="904">
        <f>Trips!BE7+Trips!BE8</f>
        <v>0</v>
      </c>
      <c r="K19" s="904">
        <f>Trips!BL7+Trips!BL8+Trips!BL9</f>
        <v>0</v>
      </c>
      <c r="L19" s="904">
        <f>Trips!BS7+Trips!BS8</f>
        <v>0</v>
      </c>
      <c r="M19" s="904">
        <f>Trips!BZ7+Trips!BZ8</f>
        <v>0</v>
      </c>
      <c r="N19" s="904">
        <f>Trips!CG7+Trips!CG8</f>
        <v>0</v>
      </c>
      <c r="O19" s="920">
        <f t="shared" si="13"/>
        <v>11504</v>
      </c>
      <c r="P19" s="921">
        <f t="shared" si="10"/>
        <v>10903</v>
      </c>
      <c r="Q19" s="921">
        <f t="shared" si="11"/>
        <v>0</v>
      </c>
      <c r="R19" s="921">
        <f t="shared" si="14"/>
        <v>0</v>
      </c>
      <c r="S19" s="922">
        <f t="shared" si="12"/>
        <v>22407</v>
      </c>
      <c r="T19" s="907"/>
    </row>
    <row r="20" spans="1:20" ht="6" customHeight="1" thickBot="1">
      <c r="A20" s="927"/>
      <c r="B20" s="928"/>
      <c r="C20" s="928"/>
      <c r="D20" s="928"/>
      <c r="E20" s="928"/>
      <c r="F20" s="928"/>
      <c r="G20" s="928"/>
      <c r="H20" s="928"/>
      <c r="I20" s="928"/>
      <c r="J20" s="928"/>
      <c r="K20" s="928"/>
      <c r="L20" s="928"/>
      <c r="M20" s="928"/>
      <c r="N20" s="928"/>
      <c r="O20" s="929"/>
      <c r="P20" s="929"/>
      <c r="Q20" s="929"/>
      <c r="R20" s="929"/>
      <c r="S20" s="930"/>
      <c r="T20" s="931"/>
    </row>
    <row r="21" spans="1:20" s="908" customFormat="1" ht="16.5" customHeight="1">
      <c r="A21" s="1026" t="s">
        <v>272</v>
      </c>
      <c r="B21" s="932" t="s">
        <v>187</v>
      </c>
      <c r="C21" s="933">
        <f t="shared" ref="C21:N21" si="15">C3-C33-C45</f>
        <v>23</v>
      </c>
      <c r="D21" s="933">
        <f t="shared" si="15"/>
        <v>22</v>
      </c>
      <c r="E21" s="933">
        <f t="shared" si="15"/>
        <v>21</v>
      </c>
      <c r="F21" s="933">
        <f t="shared" si="15"/>
        <v>23</v>
      </c>
      <c r="G21" s="933">
        <f t="shared" si="15"/>
        <v>20</v>
      </c>
      <c r="H21" s="933">
        <f t="shared" si="15"/>
        <v>21</v>
      </c>
      <c r="I21" s="933">
        <f t="shared" si="15"/>
        <v>0</v>
      </c>
      <c r="J21" s="933">
        <f t="shared" si="15"/>
        <v>0</v>
      </c>
      <c r="K21" s="933">
        <f t="shared" si="15"/>
        <v>0</v>
      </c>
      <c r="L21" s="933">
        <f t="shared" si="15"/>
        <v>0</v>
      </c>
      <c r="M21" s="933">
        <f t="shared" si="15"/>
        <v>0</v>
      </c>
      <c r="N21" s="933">
        <f t="shared" si="15"/>
        <v>0</v>
      </c>
      <c r="O21" s="934">
        <f>C21+D21+E21</f>
        <v>66</v>
      </c>
      <c r="P21" s="934">
        <f>F21+G21+H21</f>
        <v>64</v>
      </c>
      <c r="Q21" s="934">
        <f>I21+J21+K21</f>
        <v>0</v>
      </c>
      <c r="R21" s="934">
        <f>L21+M21+N21</f>
        <v>0</v>
      </c>
      <c r="S21" s="935">
        <f>SUM(C21:N21)</f>
        <v>130</v>
      </c>
      <c r="T21" s="907"/>
    </row>
    <row r="22" spans="1:20" s="913" customFormat="1" ht="16.5" customHeight="1" thickBot="1">
      <c r="A22" s="1027"/>
      <c r="B22" s="936" t="s">
        <v>244</v>
      </c>
      <c r="C22" s="937">
        <f>'3b-RM Report Data'!J104</f>
        <v>34</v>
      </c>
      <c r="D22" s="937">
        <f>'3b-RM Report Data'!Q104</f>
        <v>34</v>
      </c>
      <c r="E22" s="937">
        <f>'3b-RM Report Data'!X104</f>
        <v>34</v>
      </c>
      <c r="F22" s="937">
        <f>'3b-RM Report Data'!AE104</f>
        <v>34</v>
      </c>
      <c r="G22" s="937">
        <f>'3b-RM Report Data'!AL104</f>
        <v>34</v>
      </c>
      <c r="H22" s="937">
        <f>'3b-RM Report Data'!AS104</f>
        <v>34</v>
      </c>
      <c r="I22" s="937">
        <f>'3b-RM Report Data'!AZ104</f>
        <v>34</v>
      </c>
      <c r="J22" s="937">
        <f>'3b-RM Report Data'!BG104</f>
        <v>34</v>
      </c>
      <c r="K22" s="937">
        <f>'3b-RM Report Data'!BN104</f>
        <v>34</v>
      </c>
      <c r="L22" s="937">
        <f>'3b-RM Report Data'!BU104</f>
        <v>34</v>
      </c>
      <c r="M22" s="937">
        <f>'3b-RM Report Data'!CB104</f>
        <v>34</v>
      </c>
      <c r="N22" s="937">
        <f>'3b-RM Report Data'!CI104</f>
        <v>34</v>
      </c>
      <c r="O22" s="915">
        <f t="shared" ref="O22" si="16">MAX(C22,D22,E22)</f>
        <v>34</v>
      </c>
      <c r="P22" s="915">
        <f t="shared" ref="P22" si="17">MAX(F22,G22,H22)</f>
        <v>34</v>
      </c>
      <c r="Q22" s="915">
        <f t="shared" ref="Q22" si="18">MAX(I22,J22,K22)</f>
        <v>34</v>
      </c>
      <c r="R22" s="915">
        <f t="shared" ref="R22" si="19">MAX(L22,M22,N22)</f>
        <v>34</v>
      </c>
      <c r="S22" s="938">
        <f t="shared" ref="S22" si="20">MAX(C22:N22)</f>
        <v>34</v>
      </c>
      <c r="T22" s="939">
        <f>S22</f>
        <v>34</v>
      </c>
    </row>
    <row r="23" spans="1:20" s="924" customFormat="1" ht="16.5" customHeight="1">
      <c r="A23" s="918" t="s">
        <v>248</v>
      </c>
      <c r="B23" s="919" t="s">
        <v>45</v>
      </c>
      <c r="C23" s="922">
        <f t="shared" ref="C23:N23" si="21">C7-C35-C47</f>
        <v>6774.82</v>
      </c>
      <c r="D23" s="922">
        <f t="shared" si="21"/>
        <v>6761.08</v>
      </c>
      <c r="E23" s="922">
        <f t="shared" si="21"/>
        <v>6095.45</v>
      </c>
      <c r="F23" s="922">
        <f t="shared" si="21"/>
        <v>6962.6</v>
      </c>
      <c r="G23" s="922">
        <f t="shared" si="21"/>
        <v>5779.58</v>
      </c>
      <c r="H23" s="922">
        <f t="shared" si="21"/>
        <v>5859.03</v>
      </c>
      <c r="I23" s="922">
        <f t="shared" si="21"/>
        <v>0</v>
      </c>
      <c r="J23" s="922">
        <f t="shared" si="21"/>
        <v>0</v>
      </c>
      <c r="K23" s="922">
        <f t="shared" si="21"/>
        <v>0</v>
      </c>
      <c r="L23" s="922">
        <f t="shared" si="21"/>
        <v>0</v>
      </c>
      <c r="M23" s="922">
        <f t="shared" si="21"/>
        <v>0</v>
      </c>
      <c r="N23" s="922">
        <f t="shared" si="21"/>
        <v>0</v>
      </c>
      <c r="O23" s="921">
        <f t="shared" ref="O23:O28" si="22">SUM(C23:E23)</f>
        <v>19631.349999999999</v>
      </c>
      <c r="P23" s="921">
        <f t="shared" ref="P23:P28" si="23">SUM(F23:H23)</f>
        <v>18601.21</v>
      </c>
      <c r="Q23" s="921">
        <f t="shared" ref="Q23:Q28" si="24">SUM(I23:K23)</f>
        <v>0</v>
      </c>
      <c r="R23" s="920">
        <f>SUM(L23:N23)</f>
        <v>0</v>
      </c>
      <c r="S23" s="904">
        <f t="shared" ref="S23:S27" si="25">SUM(C23:N23)</f>
        <v>38232.559999999998</v>
      </c>
      <c r="T23" s="940">
        <f t="shared" ref="T23:T28" si="26">IFERROR(S23/$S$21,0)</f>
        <v>294.09661538461535</v>
      </c>
    </row>
    <row r="24" spans="1:20" s="924" customFormat="1" ht="16.5" customHeight="1">
      <c r="A24" s="925" t="s">
        <v>245</v>
      </c>
      <c r="B24" s="903" t="s">
        <v>46</v>
      </c>
      <c r="C24" s="922">
        <f t="shared" ref="C24:N24" si="27">C8-C36-C48</f>
        <v>116342</v>
      </c>
      <c r="D24" s="922">
        <f t="shared" si="27"/>
        <v>117707</v>
      </c>
      <c r="E24" s="922">
        <f t="shared" si="27"/>
        <v>107912</v>
      </c>
      <c r="F24" s="922">
        <f t="shared" si="27"/>
        <v>124214</v>
      </c>
      <c r="G24" s="922">
        <f t="shared" si="27"/>
        <v>99903</v>
      </c>
      <c r="H24" s="922">
        <f t="shared" si="27"/>
        <v>101719</v>
      </c>
      <c r="I24" s="922">
        <f t="shared" si="27"/>
        <v>0</v>
      </c>
      <c r="J24" s="922">
        <f t="shared" si="27"/>
        <v>0</v>
      </c>
      <c r="K24" s="922">
        <f t="shared" si="27"/>
        <v>0</v>
      </c>
      <c r="L24" s="922">
        <f t="shared" si="27"/>
        <v>0</v>
      </c>
      <c r="M24" s="922">
        <f t="shared" si="27"/>
        <v>0</v>
      </c>
      <c r="N24" s="922">
        <f t="shared" si="27"/>
        <v>0</v>
      </c>
      <c r="O24" s="921">
        <f t="shared" si="22"/>
        <v>341961</v>
      </c>
      <c r="P24" s="921">
        <f t="shared" si="23"/>
        <v>325836</v>
      </c>
      <c r="Q24" s="921">
        <f t="shared" si="24"/>
        <v>0</v>
      </c>
      <c r="R24" s="920">
        <f t="shared" ref="R24:R28" si="28">SUM(L24:N24)</f>
        <v>0</v>
      </c>
      <c r="S24" s="904">
        <f t="shared" si="25"/>
        <v>667797</v>
      </c>
      <c r="T24" s="940">
        <f t="shared" si="26"/>
        <v>5136.8999999999996</v>
      </c>
    </row>
    <row r="25" spans="1:20" s="924" customFormat="1" ht="16.5" customHeight="1">
      <c r="A25" s="925" t="s">
        <v>249</v>
      </c>
      <c r="B25" s="926" t="s">
        <v>109</v>
      </c>
      <c r="C25" s="922">
        <f t="shared" ref="C25:N25" si="29">C9-C37-C49</f>
        <v>5173.3999999999996</v>
      </c>
      <c r="D25" s="922">
        <f t="shared" si="29"/>
        <v>5312.15</v>
      </c>
      <c r="E25" s="922">
        <f t="shared" si="29"/>
        <v>4839.12</v>
      </c>
      <c r="F25" s="922">
        <f t="shared" si="29"/>
        <v>5581.18</v>
      </c>
      <c r="G25" s="922">
        <f t="shared" si="29"/>
        <v>4453.2</v>
      </c>
      <c r="H25" s="922">
        <f t="shared" si="29"/>
        <v>4550.67</v>
      </c>
      <c r="I25" s="922">
        <f t="shared" si="29"/>
        <v>0</v>
      </c>
      <c r="J25" s="922">
        <f t="shared" si="29"/>
        <v>0</v>
      </c>
      <c r="K25" s="922">
        <f t="shared" si="29"/>
        <v>0</v>
      </c>
      <c r="L25" s="922">
        <f t="shared" si="29"/>
        <v>0</v>
      </c>
      <c r="M25" s="922">
        <f t="shared" si="29"/>
        <v>0</v>
      </c>
      <c r="N25" s="922">
        <f t="shared" si="29"/>
        <v>0</v>
      </c>
      <c r="O25" s="921">
        <f t="shared" si="22"/>
        <v>15324.669999999998</v>
      </c>
      <c r="P25" s="921">
        <f t="shared" si="23"/>
        <v>14585.050000000001</v>
      </c>
      <c r="Q25" s="921">
        <f t="shared" si="24"/>
        <v>0</v>
      </c>
      <c r="R25" s="920">
        <f t="shared" si="28"/>
        <v>0</v>
      </c>
      <c r="S25" s="904">
        <f t="shared" si="25"/>
        <v>29909.72</v>
      </c>
      <c r="T25" s="940">
        <f t="shared" si="26"/>
        <v>230.07476923076925</v>
      </c>
    </row>
    <row r="26" spans="1:20" s="924" customFormat="1" ht="16.5" customHeight="1">
      <c r="A26" s="925" t="s">
        <v>246</v>
      </c>
      <c r="B26" s="926" t="s">
        <v>47</v>
      </c>
      <c r="C26" s="922">
        <f t="shared" ref="C26:N26" si="30">C10-C38-C50</f>
        <v>92070</v>
      </c>
      <c r="D26" s="922">
        <f t="shared" si="30"/>
        <v>94843</v>
      </c>
      <c r="E26" s="922">
        <f t="shared" si="30"/>
        <v>87922</v>
      </c>
      <c r="F26" s="922">
        <f t="shared" si="30"/>
        <v>101330</v>
      </c>
      <c r="G26" s="922">
        <f t="shared" si="30"/>
        <v>79587</v>
      </c>
      <c r="H26" s="922">
        <f t="shared" si="30"/>
        <v>81660</v>
      </c>
      <c r="I26" s="922">
        <f t="shared" si="30"/>
        <v>0</v>
      </c>
      <c r="J26" s="922">
        <f t="shared" si="30"/>
        <v>0</v>
      </c>
      <c r="K26" s="922">
        <f t="shared" si="30"/>
        <v>0</v>
      </c>
      <c r="L26" s="922">
        <f t="shared" si="30"/>
        <v>0</v>
      </c>
      <c r="M26" s="922">
        <f t="shared" si="30"/>
        <v>0</v>
      </c>
      <c r="N26" s="922">
        <f t="shared" si="30"/>
        <v>0</v>
      </c>
      <c r="O26" s="921">
        <f t="shared" si="22"/>
        <v>274835</v>
      </c>
      <c r="P26" s="921">
        <f t="shared" si="23"/>
        <v>262577</v>
      </c>
      <c r="Q26" s="921">
        <f t="shared" si="24"/>
        <v>0</v>
      </c>
      <c r="R26" s="920">
        <f t="shared" si="28"/>
        <v>0</v>
      </c>
      <c r="S26" s="904">
        <f t="shared" si="25"/>
        <v>537412</v>
      </c>
      <c r="T26" s="940">
        <f t="shared" si="26"/>
        <v>4133.9384615384615</v>
      </c>
    </row>
    <row r="27" spans="1:20" s="908" customFormat="1" ht="16.5" customHeight="1">
      <c r="A27" s="925" t="s">
        <v>251</v>
      </c>
      <c r="B27" s="926" t="s">
        <v>241</v>
      </c>
      <c r="C27" s="922">
        <f t="shared" ref="C27:N27" si="31">C11-C39-C51</f>
        <v>135349</v>
      </c>
      <c r="D27" s="922">
        <f t="shared" si="31"/>
        <v>139032</v>
      </c>
      <c r="E27" s="922">
        <f t="shared" si="31"/>
        <v>126938</v>
      </c>
      <c r="F27" s="922">
        <f t="shared" si="31"/>
        <v>148151</v>
      </c>
      <c r="G27" s="922">
        <f t="shared" si="31"/>
        <v>120902</v>
      </c>
      <c r="H27" s="922">
        <f t="shared" si="31"/>
        <v>119469</v>
      </c>
      <c r="I27" s="922">
        <f t="shared" si="31"/>
        <v>0</v>
      </c>
      <c r="J27" s="922">
        <f t="shared" si="31"/>
        <v>0</v>
      </c>
      <c r="K27" s="922">
        <f t="shared" si="31"/>
        <v>0</v>
      </c>
      <c r="L27" s="922">
        <f t="shared" si="31"/>
        <v>0</v>
      </c>
      <c r="M27" s="922">
        <f t="shared" si="31"/>
        <v>0</v>
      </c>
      <c r="N27" s="922">
        <f t="shared" si="31"/>
        <v>0</v>
      </c>
      <c r="O27" s="921">
        <f t="shared" si="22"/>
        <v>401319</v>
      </c>
      <c r="P27" s="921">
        <f t="shared" si="23"/>
        <v>388522</v>
      </c>
      <c r="Q27" s="921">
        <f t="shared" si="24"/>
        <v>0</v>
      </c>
      <c r="R27" s="920">
        <f t="shared" si="28"/>
        <v>0</v>
      </c>
      <c r="S27" s="904">
        <f t="shared" si="25"/>
        <v>789841</v>
      </c>
      <c r="T27" s="940">
        <f t="shared" si="26"/>
        <v>6075.7</v>
      </c>
    </row>
    <row r="28" spans="1:20" s="924" customFormat="1" ht="16.5" customHeight="1">
      <c r="A28" s="925" t="s">
        <v>260</v>
      </c>
      <c r="B28" s="903" t="s">
        <v>115</v>
      </c>
      <c r="C28" s="922">
        <f t="shared" ref="C28:N28" si="32">C12-C40-C52</f>
        <v>12905</v>
      </c>
      <c r="D28" s="922">
        <f t="shared" si="32"/>
        <v>13364</v>
      </c>
      <c r="E28" s="922">
        <f t="shared" si="32"/>
        <v>12219</v>
      </c>
      <c r="F28" s="922">
        <f t="shared" si="32"/>
        <v>14208</v>
      </c>
      <c r="G28" s="922">
        <f t="shared" si="32"/>
        <v>11453</v>
      </c>
      <c r="H28" s="922">
        <f t="shared" si="32"/>
        <v>11456.206</v>
      </c>
      <c r="I28" s="922">
        <f t="shared" si="32"/>
        <v>0</v>
      </c>
      <c r="J28" s="922">
        <f t="shared" si="32"/>
        <v>0</v>
      </c>
      <c r="K28" s="922">
        <f t="shared" si="32"/>
        <v>0</v>
      </c>
      <c r="L28" s="922">
        <f t="shared" si="32"/>
        <v>0</v>
      </c>
      <c r="M28" s="922">
        <f t="shared" si="32"/>
        <v>0</v>
      </c>
      <c r="N28" s="922">
        <f t="shared" si="32"/>
        <v>0</v>
      </c>
      <c r="O28" s="921">
        <f t="shared" si="22"/>
        <v>38488</v>
      </c>
      <c r="P28" s="921">
        <f t="shared" si="23"/>
        <v>37117.205999999998</v>
      </c>
      <c r="Q28" s="921">
        <f t="shared" si="24"/>
        <v>0</v>
      </c>
      <c r="R28" s="920">
        <f t="shared" si="28"/>
        <v>0</v>
      </c>
      <c r="S28" s="904">
        <f>SUM(C28:N28)</f>
        <v>75605.206000000006</v>
      </c>
      <c r="T28" s="940">
        <f t="shared" si="26"/>
        <v>581.57850769230777</v>
      </c>
    </row>
    <row r="29" spans="1:20" s="945" customFormat="1" ht="16.95" customHeight="1">
      <c r="A29" s="1017" t="s">
        <v>268</v>
      </c>
      <c r="B29" s="941" t="s">
        <v>250</v>
      </c>
      <c r="C29" s="942">
        <f t="shared" ref="C29:N29" si="33">C23-C25</f>
        <v>1601.42</v>
      </c>
      <c r="D29" s="942">
        <f t="shared" si="33"/>
        <v>1448.9300000000003</v>
      </c>
      <c r="E29" s="942">
        <f t="shared" si="33"/>
        <v>1256.33</v>
      </c>
      <c r="F29" s="942">
        <f t="shared" si="33"/>
        <v>1381.42</v>
      </c>
      <c r="G29" s="942">
        <f t="shared" si="33"/>
        <v>1326.38</v>
      </c>
      <c r="H29" s="942">
        <f t="shared" si="33"/>
        <v>1308.3599999999997</v>
      </c>
      <c r="I29" s="942">
        <f t="shared" si="33"/>
        <v>0</v>
      </c>
      <c r="J29" s="942">
        <f t="shared" si="33"/>
        <v>0</v>
      </c>
      <c r="K29" s="942">
        <f t="shared" si="33"/>
        <v>0</v>
      </c>
      <c r="L29" s="942">
        <f t="shared" si="33"/>
        <v>0</v>
      </c>
      <c r="M29" s="942">
        <f t="shared" si="33"/>
        <v>0</v>
      </c>
      <c r="N29" s="942">
        <f t="shared" si="33"/>
        <v>0</v>
      </c>
      <c r="O29" s="942">
        <f>C29+D29+E29</f>
        <v>4306.68</v>
      </c>
      <c r="P29" s="942">
        <f>F29+G29+H29</f>
        <v>4016.16</v>
      </c>
      <c r="Q29" s="942">
        <f>I29+J29+K29</f>
        <v>0</v>
      </c>
      <c r="R29" s="943">
        <f>L29+M29+N29</f>
        <v>0</v>
      </c>
      <c r="S29" s="943">
        <f t="shared" ref="S29" si="34">SUM(C29:N29)</f>
        <v>8322.84</v>
      </c>
      <c r="T29" s="944"/>
    </row>
    <row r="30" spans="1:20" s="945" customFormat="1" ht="16.95" customHeight="1">
      <c r="A30" s="1018"/>
      <c r="B30" s="941" t="s">
        <v>247</v>
      </c>
      <c r="C30" s="942">
        <f t="shared" ref="C30:N30" si="35">C24-C26</f>
        <v>24272</v>
      </c>
      <c r="D30" s="942">
        <f t="shared" si="35"/>
        <v>22864</v>
      </c>
      <c r="E30" s="942">
        <f t="shared" si="35"/>
        <v>19990</v>
      </c>
      <c r="F30" s="942">
        <f t="shared" si="35"/>
        <v>22884</v>
      </c>
      <c r="G30" s="942">
        <f t="shared" si="35"/>
        <v>20316</v>
      </c>
      <c r="H30" s="942">
        <f t="shared" si="35"/>
        <v>20059</v>
      </c>
      <c r="I30" s="942">
        <f t="shared" si="35"/>
        <v>0</v>
      </c>
      <c r="J30" s="942">
        <f t="shared" si="35"/>
        <v>0</v>
      </c>
      <c r="K30" s="942">
        <f t="shared" si="35"/>
        <v>0</v>
      </c>
      <c r="L30" s="942">
        <f t="shared" si="35"/>
        <v>0</v>
      </c>
      <c r="M30" s="942">
        <f t="shared" si="35"/>
        <v>0</v>
      </c>
      <c r="N30" s="942">
        <f t="shared" si="35"/>
        <v>0</v>
      </c>
      <c r="O30" s="942">
        <f>O24-O26</f>
        <v>67126</v>
      </c>
      <c r="P30" s="942">
        <f>P24-P26</f>
        <v>63259</v>
      </c>
      <c r="Q30" s="942">
        <f>Q24-Q26</f>
        <v>0</v>
      </c>
      <c r="R30" s="943">
        <f>R24-R26</f>
        <v>0</v>
      </c>
      <c r="S30" s="943">
        <f>S24-S26</f>
        <v>130385</v>
      </c>
      <c r="T30" s="944"/>
    </row>
    <row r="31" spans="1:20" s="945" customFormat="1" ht="16.95" customHeight="1">
      <c r="A31" s="1019"/>
      <c r="B31" s="941" t="s">
        <v>261</v>
      </c>
      <c r="C31" s="946">
        <f t="shared" ref="C31:O31" si="36">IFERROR(C30/C29,0)</f>
        <v>15.156548563150203</v>
      </c>
      <c r="D31" s="946">
        <f t="shared" si="36"/>
        <v>15.779920355020598</v>
      </c>
      <c r="E31" s="946">
        <f t="shared" si="36"/>
        <v>15.911424546098559</v>
      </c>
      <c r="F31" s="946">
        <f t="shared" si="36"/>
        <v>16.565562971435188</v>
      </c>
      <c r="G31" s="946">
        <f t="shared" si="36"/>
        <v>15.316877516247228</v>
      </c>
      <c r="H31" s="946">
        <f t="shared" si="36"/>
        <v>15.331407257941244</v>
      </c>
      <c r="I31" s="946">
        <f t="shared" si="36"/>
        <v>0</v>
      </c>
      <c r="J31" s="946">
        <f t="shared" si="36"/>
        <v>0</v>
      </c>
      <c r="K31" s="946">
        <f t="shared" si="36"/>
        <v>0</v>
      </c>
      <c r="L31" s="946">
        <f t="shared" si="36"/>
        <v>0</v>
      </c>
      <c r="M31" s="946">
        <f t="shared" si="36"/>
        <v>0</v>
      </c>
      <c r="N31" s="946">
        <f t="shared" si="36"/>
        <v>0</v>
      </c>
      <c r="O31" s="946">
        <f t="shared" si="36"/>
        <v>15.586484252370735</v>
      </c>
      <c r="P31" s="946">
        <v>0</v>
      </c>
      <c r="Q31" s="946">
        <f>IFERROR(Q30/Q29,0)</f>
        <v>0</v>
      </c>
      <c r="R31" s="946">
        <f>IFERROR(R30/R29,0)</f>
        <v>0</v>
      </c>
      <c r="S31" s="946">
        <f>IFERROR(S30/#REF!,0)</f>
        <v>0</v>
      </c>
      <c r="T31" s="947"/>
    </row>
    <row r="32" spans="1:20" ht="6" customHeight="1" thickBot="1">
      <c r="A32" s="948"/>
      <c r="B32" s="949"/>
      <c r="C32" s="949"/>
      <c r="D32" s="949"/>
      <c r="E32" s="949"/>
      <c r="F32" s="949"/>
      <c r="G32" s="949"/>
      <c r="H32" s="949"/>
      <c r="I32" s="949"/>
      <c r="J32" s="949"/>
      <c r="K32" s="949"/>
      <c r="L32" s="949"/>
      <c r="M32" s="949"/>
      <c r="N32" s="949"/>
      <c r="O32" s="950"/>
      <c r="P32" s="950"/>
      <c r="Q32" s="950"/>
      <c r="R32" s="951"/>
      <c r="S32" s="952"/>
      <c r="T32" s="931"/>
    </row>
    <row r="33" spans="1:20" s="908" customFormat="1" ht="19.5" customHeight="1">
      <c r="A33" s="953" t="s">
        <v>227</v>
      </c>
      <c r="B33" s="932" t="s">
        <v>187</v>
      </c>
      <c r="C33" s="954">
        <f>'3b-RM Report Data'!J75</f>
        <v>4</v>
      </c>
      <c r="D33" s="954">
        <f>'3b-RM Report Data'!Q75</f>
        <v>5</v>
      </c>
      <c r="E33" s="954">
        <f>'3b-RM Report Data'!X75</f>
        <v>4</v>
      </c>
      <c r="F33" s="954">
        <f>'3b-RM Report Data'!AE75</f>
        <v>4</v>
      </c>
      <c r="G33" s="954">
        <f>'3b-RM Report Data'!AL75</f>
        <v>5</v>
      </c>
      <c r="H33" s="954">
        <f>'3b-RM Report Data'!AS75</f>
        <v>4</v>
      </c>
      <c r="I33" s="954">
        <f>'3b-RM Report Data'!AZ75</f>
        <v>0</v>
      </c>
      <c r="J33" s="954">
        <f>'3b-RM Report Data'!BG75</f>
        <v>0</v>
      </c>
      <c r="K33" s="954">
        <f>'3b-RM Report Data'!BN75</f>
        <v>0</v>
      </c>
      <c r="L33" s="954">
        <f>'3b-RM Report Data'!BU75</f>
        <v>0</v>
      </c>
      <c r="M33" s="954">
        <f>'3b-RM Report Data'!CB75</f>
        <v>0</v>
      </c>
      <c r="N33" s="954">
        <f>'3b-RM Report Data'!CI75</f>
        <v>0</v>
      </c>
      <c r="O33" s="934">
        <f>C33+D33+E33</f>
        <v>13</v>
      </c>
      <c r="P33" s="934">
        <f>F33+G33+H33</f>
        <v>13</v>
      </c>
      <c r="Q33" s="934">
        <f>I33+J33+K33</f>
        <v>0</v>
      </c>
      <c r="R33" s="934">
        <f>L33+M33+N33</f>
        <v>0</v>
      </c>
      <c r="S33" s="955">
        <f>SUM(C33:N33)</f>
        <v>26</v>
      </c>
      <c r="T33" s="907"/>
    </row>
    <row r="34" spans="1:20" s="913" customFormat="1" ht="22.5" customHeight="1" thickBot="1">
      <c r="A34" s="956" t="s">
        <v>298</v>
      </c>
      <c r="B34" s="936" t="s">
        <v>244</v>
      </c>
      <c r="C34" s="915">
        <f>'3b-RM Report Data'!J105</f>
        <v>9</v>
      </c>
      <c r="D34" s="915">
        <f>'3b-RM Report Data'!Q105</f>
        <v>9</v>
      </c>
      <c r="E34" s="915">
        <f>'3b-RM Report Data'!X105</f>
        <v>9</v>
      </c>
      <c r="F34" s="915">
        <f>'3b-RM Report Data'!AE105</f>
        <v>9</v>
      </c>
      <c r="G34" s="915">
        <f>'3b-RM Report Data'!AL105</f>
        <v>9</v>
      </c>
      <c r="H34" s="915">
        <f>'3b-RM Report Data'!AS105</f>
        <v>9</v>
      </c>
      <c r="I34" s="915">
        <f>'3b-RM Report Data'!AZ105</f>
        <v>9</v>
      </c>
      <c r="J34" s="915">
        <f>'3b-RM Report Data'!BG105</f>
        <v>9</v>
      </c>
      <c r="K34" s="915">
        <f>'3b-RM Report Data'!BN105</f>
        <v>9</v>
      </c>
      <c r="L34" s="915">
        <f>'3b-RM Report Data'!BU105</f>
        <v>9</v>
      </c>
      <c r="M34" s="915">
        <f>'3b-RM Report Data'!CB105</f>
        <v>9</v>
      </c>
      <c r="N34" s="915">
        <f>'3b-RM Report Data'!CI105</f>
        <v>9</v>
      </c>
      <c r="O34" s="915">
        <f t="shared" ref="O34" si="37">MAX(C34,D34,E34)</f>
        <v>9</v>
      </c>
      <c r="P34" s="915">
        <f t="shared" ref="P34" si="38">MAX(F34,G34,H34)</f>
        <v>9</v>
      </c>
      <c r="Q34" s="915">
        <f t="shared" ref="Q34" si="39">MAX(I34,J34,K34)</f>
        <v>9</v>
      </c>
      <c r="R34" s="915">
        <f t="shared" ref="R34" si="40">MAX(L34,M34,N34)</f>
        <v>9</v>
      </c>
      <c r="S34" s="938">
        <f t="shared" ref="S34" si="41">MAX(C34:N34)</f>
        <v>9</v>
      </c>
      <c r="T34" s="939">
        <f>S34</f>
        <v>9</v>
      </c>
    </row>
    <row r="35" spans="1:20" s="924" customFormat="1" ht="16.5" customHeight="1">
      <c r="A35" s="918" t="s">
        <v>248</v>
      </c>
      <c r="B35" s="919" t="s">
        <v>45</v>
      </c>
      <c r="C35" s="904">
        <f>'3b-RM Report Data'!J59</f>
        <v>428</v>
      </c>
      <c r="D35" s="904">
        <f>'3b-RM Report Data'!Q59</f>
        <v>501</v>
      </c>
      <c r="E35" s="904">
        <f>'3b-RM Report Data'!X59</f>
        <v>395</v>
      </c>
      <c r="F35" s="904">
        <f>'3b-RM Report Data'!AE59</f>
        <v>358</v>
      </c>
      <c r="G35" s="904">
        <f>'3b-RM Report Data'!AL59</f>
        <v>419</v>
      </c>
      <c r="H35" s="904">
        <f>'3b-RM Report Data'!AS59</f>
        <v>339</v>
      </c>
      <c r="I35" s="904">
        <f>'3b-RM Report Data'!AZ59</f>
        <v>0</v>
      </c>
      <c r="J35" s="904">
        <f>'3b-RM Report Data'!BG59</f>
        <v>0</v>
      </c>
      <c r="K35" s="904">
        <f>'3b-RM Report Data'!BN59</f>
        <v>0</v>
      </c>
      <c r="L35" s="904">
        <f>'3b-RM Report Data'!BU59</f>
        <v>0</v>
      </c>
      <c r="M35" s="904">
        <f>'3b-RM Report Data'!CB59</f>
        <v>0</v>
      </c>
      <c r="N35" s="904">
        <f>'3b-RM Report Data'!CI59</f>
        <v>0</v>
      </c>
      <c r="O35" s="920">
        <f t="shared" ref="O35:O40" si="42">SUM(C35:E35)</f>
        <v>1324</v>
      </c>
      <c r="P35" s="921">
        <f t="shared" ref="P35:P40" si="43">SUM(F35:H35)</f>
        <v>1116</v>
      </c>
      <c r="Q35" s="921">
        <f t="shared" ref="Q35:Q40" si="44">SUM(I35:K35)</f>
        <v>0</v>
      </c>
      <c r="R35" s="920">
        <f>SUM(L35:N35)</f>
        <v>0</v>
      </c>
      <c r="S35" s="904">
        <f t="shared" ref="S35:S39" si="45">SUM(C35:N35)</f>
        <v>2440</v>
      </c>
      <c r="T35" s="940">
        <f t="shared" ref="T35:T40" si="46">IFERROR(S35/$S$33,0)</f>
        <v>93.84615384615384</v>
      </c>
    </row>
    <row r="36" spans="1:20" s="924" customFormat="1" ht="16.5" customHeight="1">
      <c r="A36" s="925" t="s">
        <v>245</v>
      </c>
      <c r="B36" s="903" t="s">
        <v>46</v>
      </c>
      <c r="C36" s="904">
        <f>'3b-RM Report Data'!J56</f>
        <v>6499</v>
      </c>
      <c r="D36" s="904">
        <f>'3b-RM Report Data'!Q56</f>
        <v>8803</v>
      </c>
      <c r="E36" s="904">
        <f>'3b-RM Report Data'!X56</f>
        <v>6530</v>
      </c>
      <c r="F36" s="904">
        <f>'3b-RM Report Data'!AE56</f>
        <v>6049</v>
      </c>
      <c r="G36" s="904">
        <f>'3b-RM Report Data'!AL56</f>
        <v>7119</v>
      </c>
      <c r="H36" s="904">
        <f>'3b-RM Report Data'!AS56</f>
        <v>5271</v>
      </c>
      <c r="I36" s="904">
        <f>'3b-RM Report Data'!AZ56</f>
        <v>0</v>
      </c>
      <c r="J36" s="904">
        <f>'3b-RM Report Data'!BG56</f>
        <v>0</v>
      </c>
      <c r="K36" s="904">
        <f>'3b-RM Report Data'!BN56</f>
        <v>0</v>
      </c>
      <c r="L36" s="904">
        <f>'3b-RM Report Data'!BU56</f>
        <v>0</v>
      </c>
      <c r="M36" s="904">
        <f>'3b-RM Report Data'!CB56</f>
        <v>0</v>
      </c>
      <c r="N36" s="904">
        <f>'3b-RM Report Data'!CI56</f>
        <v>0</v>
      </c>
      <c r="O36" s="920">
        <f t="shared" si="42"/>
        <v>21832</v>
      </c>
      <c r="P36" s="921">
        <f t="shared" si="43"/>
        <v>18439</v>
      </c>
      <c r="Q36" s="921">
        <f t="shared" si="44"/>
        <v>0</v>
      </c>
      <c r="R36" s="920">
        <f t="shared" ref="R36:R40" si="47">SUM(L36:N36)</f>
        <v>0</v>
      </c>
      <c r="S36" s="904">
        <f t="shared" si="45"/>
        <v>40271</v>
      </c>
      <c r="T36" s="940">
        <f t="shared" si="46"/>
        <v>1548.8846153846155</v>
      </c>
    </row>
    <row r="37" spans="1:20" s="924" customFormat="1" ht="16.5" customHeight="1">
      <c r="A37" s="925" t="s">
        <v>249</v>
      </c>
      <c r="B37" s="926" t="s">
        <v>109</v>
      </c>
      <c r="C37" s="904">
        <f>'3b-RM Report Data'!J60</f>
        <v>279</v>
      </c>
      <c r="D37" s="904">
        <f>'3b-RM Report Data'!Q60</f>
        <v>340</v>
      </c>
      <c r="E37" s="904">
        <f>'3b-RM Report Data'!X60</f>
        <v>292</v>
      </c>
      <c r="F37" s="904">
        <f>'3b-RM Report Data'!AE60</f>
        <v>257</v>
      </c>
      <c r="G37" s="904">
        <f>'3b-RM Report Data'!AL60</f>
        <v>309</v>
      </c>
      <c r="H37" s="904">
        <f>'3b-RM Report Data'!AS60</f>
        <v>237</v>
      </c>
      <c r="I37" s="904">
        <f>'3b-RM Report Data'!AZ60</f>
        <v>0</v>
      </c>
      <c r="J37" s="904">
        <f>'3b-RM Report Data'!BG60</f>
        <v>0</v>
      </c>
      <c r="K37" s="904">
        <f>'3b-RM Report Data'!BN60</f>
        <v>0</v>
      </c>
      <c r="L37" s="904">
        <f>'3b-RM Report Data'!BU60</f>
        <v>0</v>
      </c>
      <c r="M37" s="904">
        <f>'3b-RM Report Data'!CB60</f>
        <v>0</v>
      </c>
      <c r="N37" s="904">
        <f>'3b-RM Report Data'!CI60</f>
        <v>0</v>
      </c>
      <c r="O37" s="920">
        <f t="shared" si="42"/>
        <v>911</v>
      </c>
      <c r="P37" s="921">
        <f t="shared" si="43"/>
        <v>803</v>
      </c>
      <c r="Q37" s="921">
        <f t="shared" si="44"/>
        <v>0</v>
      </c>
      <c r="R37" s="920">
        <f t="shared" si="47"/>
        <v>0</v>
      </c>
      <c r="S37" s="904">
        <f t="shared" si="45"/>
        <v>1714</v>
      </c>
      <c r="T37" s="940">
        <f t="shared" si="46"/>
        <v>65.92307692307692</v>
      </c>
    </row>
    <row r="38" spans="1:20" s="924" customFormat="1" ht="16.5" customHeight="1">
      <c r="A38" s="925" t="s">
        <v>246</v>
      </c>
      <c r="B38" s="926" t="s">
        <v>47</v>
      </c>
      <c r="C38" s="904">
        <f>'3b-RM Report Data'!J57</f>
        <v>4898</v>
      </c>
      <c r="D38" s="904">
        <f>'3b-RM Report Data'!Q57</f>
        <v>6457</v>
      </c>
      <c r="E38" s="904">
        <f>'3b-RM Report Data'!X57</f>
        <v>5032</v>
      </c>
      <c r="F38" s="904">
        <f>'3b-RM Report Data'!AE57</f>
        <v>4547</v>
      </c>
      <c r="G38" s="904">
        <f>'3b-RM Report Data'!AL57</f>
        <v>5495</v>
      </c>
      <c r="H38" s="904">
        <f>'3b-RM Report Data'!AS57</f>
        <v>3866</v>
      </c>
      <c r="I38" s="904">
        <f>'3b-RM Report Data'!AZ57</f>
        <v>0</v>
      </c>
      <c r="J38" s="904">
        <f>'3b-RM Report Data'!BG57</f>
        <v>0</v>
      </c>
      <c r="K38" s="904">
        <f>'3b-RM Report Data'!BN57</f>
        <v>0</v>
      </c>
      <c r="L38" s="904">
        <f>'3b-RM Report Data'!BU57</f>
        <v>0</v>
      </c>
      <c r="M38" s="904">
        <f>'3b-RM Report Data'!CB57</f>
        <v>0</v>
      </c>
      <c r="N38" s="904">
        <f>'3b-RM Report Data'!CI57</f>
        <v>0</v>
      </c>
      <c r="O38" s="920">
        <f t="shared" si="42"/>
        <v>16387</v>
      </c>
      <c r="P38" s="921">
        <f t="shared" si="43"/>
        <v>13908</v>
      </c>
      <c r="Q38" s="921">
        <f t="shared" si="44"/>
        <v>0</v>
      </c>
      <c r="R38" s="920">
        <f t="shared" si="47"/>
        <v>0</v>
      </c>
      <c r="S38" s="904">
        <f t="shared" si="45"/>
        <v>30295</v>
      </c>
      <c r="T38" s="940">
        <f t="shared" si="46"/>
        <v>1165.1923076923076</v>
      </c>
    </row>
    <row r="39" spans="1:20" s="908" customFormat="1" ht="16.5" customHeight="1">
      <c r="A39" s="925" t="s">
        <v>251</v>
      </c>
      <c r="B39" s="926" t="s">
        <v>241</v>
      </c>
      <c r="C39" s="904">
        <f>'3b-RM Report Data'!J58</f>
        <v>6145</v>
      </c>
      <c r="D39" s="904">
        <f>'3b-RM Report Data'!Q58</f>
        <v>7988</v>
      </c>
      <c r="E39" s="904">
        <f>'3b-RM Report Data'!X58</f>
        <v>6521</v>
      </c>
      <c r="F39" s="904">
        <f>'3b-RM Report Data'!AE58</f>
        <v>5361</v>
      </c>
      <c r="G39" s="904">
        <f>'3b-RM Report Data'!AL58</f>
        <v>6323</v>
      </c>
      <c r="H39" s="904">
        <f>'3b-RM Report Data'!AS58</f>
        <v>4645</v>
      </c>
      <c r="I39" s="904">
        <f>'3b-RM Report Data'!AZ58</f>
        <v>0</v>
      </c>
      <c r="J39" s="904">
        <f>'3b-RM Report Data'!BG58</f>
        <v>0</v>
      </c>
      <c r="K39" s="904">
        <f>'3b-RM Report Data'!BN58</f>
        <v>0</v>
      </c>
      <c r="L39" s="904">
        <f>'3b-RM Report Data'!BU58</f>
        <v>0</v>
      </c>
      <c r="M39" s="904">
        <f>'3b-RM Report Data'!CB58</f>
        <v>0</v>
      </c>
      <c r="N39" s="904">
        <f>'3b-RM Report Data'!CI58</f>
        <v>0</v>
      </c>
      <c r="O39" s="920">
        <f t="shared" si="42"/>
        <v>20654</v>
      </c>
      <c r="P39" s="921">
        <f t="shared" si="43"/>
        <v>16329</v>
      </c>
      <c r="Q39" s="921">
        <f t="shared" si="44"/>
        <v>0</v>
      </c>
      <c r="R39" s="920">
        <f t="shared" si="47"/>
        <v>0</v>
      </c>
      <c r="S39" s="904">
        <f t="shared" si="45"/>
        <v>36983</v>
      </c>
      <c r="T39" s="940">
        <f t="shared" si="46"/>
        <v>1422.4230769230769</v>
      </c>
    </row>
    <row r="40" spans="1:20" s="924" customFormat="1" ht="16.5" customHeight="1">
      <c r="A40" s="925" t="s">
        <v>260</v>
      </c>
      <c r="B40" s="903" t="s">
        <v>115</v>
      </c>
      <c r="C40" s="904">
        <f>'3b-RM Report Data'!J61</f>
        <v>687</v>
      </c>
      <c r="D40" s="904">
        <f>'3b-RM Report Data'!Q61</f>
        <v>845</v>
      </c>
      <c r="E40" s="904">
        <f>'3b-RM Report Data'!X61</f>
        <v>734</v>
      </c>
      <c r="F40" s="904">
        <f>'3b-RM Report Data'!AE61</f>
        <v>619</v>
      </c>
      <c r="G40" s="904">
        <f>'3b-RM Report Data'!AL61</f>
        <v>718</v>
      </c>
      <c r="H40" s="904">
        <f>'3b-RM Report Data'!AS61</f>
        <v>595</v>
      </c>
      <c r="I40" s="904">
        <f>'3b-RM Report Data'!AZ61</f>
        <v>0</v>
      </c>
      <c r="J40" s="904">
        <f>'3b-RM Report Data'!BG61</f>
        <v>0</v>
      </c>
      <c r="K40" s="904">
        <f>'3b-RM Report Data'!BN61</f>
        <v>0</v>
      </c>
      <c r="L40" s="904">
        <f>'3b-RM Report Data'!BU61</f>
        <v>0</v>
      </c>
      <c r="M40" s="904">
        <f>'3b-RM Report Data'!CB61</f>
        <v>0</v>
      </c>
      <c r="N40" s="904">
        <f>'3b-RM Report Data'!CI61</f>
        <v>0</v>
      </c>
      <c r="O40" s="920">
        <f t="shared" si="42"/>
        <v>2266</v>
      </c>
      <c r="P40" s="921">
        <f t="shared" si="43"/>
        <v>1932</v>
      </c>
      <c r="Q40" s="921">
        <f t="shared" si="44"/>
        <v>0</v>
      </c>
      <c r="R40" s="920">
        <f t="shared" si="47"/>
        <v>0</v>
      </c>
      <c r="S40" s="904">
        <f>SUM(C40:N40)</f>
        <v>4198</v>
      </c>
      <c r="T40" s="940">
        <f t="shared" si="46"/>
        <v>161.46153846153845</v>
      </c>
    </row>
    <row r="41" spans="1:20" s="908" customFormat="1" ht="16.95" customHeight="1">
      <c r="A41" s="1017" t="s">
        <v>268</v>
      </c>
      <c r="B41" s="941" t="s">
        <v>250</v>
      </c>
      <c r="C41" s="942">
        <f t="shared" ref="C41:N41" si="48">C35-C37</f>
        <v>149</v>
      </c>
      <c r="D41" s="942">
        <f t="shared" si="48"/>
        <v>161</v>
      </c>
      <c r="E41" s="942">
        <f t="shared" si="48"/>
        <v>103</v>
      </c>
      <c r="F41" s="942">
        <f t="shared" si="48"/>
        <v>101</v>
      </c>
      <c r="G41" s="942">
        <f t="shared" si="48"/>
        <v>110</v>
      </c>
      <c r="H41" s="942">
        <f t="shared" si="48"/>
        <v>102</v>
      </c>
      <c r="I41" s="942">
        <f t="shared" si="48"/>
        <v>0</v>
      </c>
      <c r="J41" s="942">
        <f t="shared" si="48"/>
        <v>0</v>
      </c>
      <c r="K41" s="942">
        <f t="shared" si="48"/>
        <v>0</v>
      </c>
      <c r="L41" s="942">
        <f t="shared" si="48"/>
        <v>0</v>
      </c>
      <c r="M41" s="942">
        <f t="shared" si="48"/>
        <v>0</v>
      </c>
      <c r="N41" s="942">
        <f t="shared" si="48"/>
        <v>0</v>
      </c>
      <c r="O41" s="942">
        <f>C41+D41+E41</f>
        <v>413</v>
      </c>
      <c r="P41" s="942">
        <f>F41+G41+H41</f>
        <v>313</v>
      </c>
      <c r="Q41" s="942">
        <f>I41+J41+K41</f>
        <v>0</v>
      </c>
      <c r="R41" s="942">
        <f>L41+M41+N41</f>
        <v>0</v>
      </c>
      <c r="S41" s="942">
        <f t="shared" ref="S41:S42" si="49">SUM(C41:N41)</f>
        <v>726</v>
      </c>
      <c r="T41" s="957"/>
    </row>
    <row r="42" spans="1:20" s="908" customFormat="1" ht="16.95" customHeight="1">
      <c r="A42" s="1018"/>
      <c r="B42" s="941" t="s">
        <v>247</v>
      </c>
      <c r="C42" s="943">
        <f t="shared" ref="C42:N42" si="50">C36-C38</f>
        <v>1601</v>
      </c>
      <c r="D42" s="943">
        <f t="shared" si="50"/>
        <v>2346</v>
      </c>
      <c r="E42" s="943">
        <f t="shared" si="50"/>
        <v>1498</v>
      </c>
      <c r="F42" s="943">
        <f t="shared" si="50"/>
        <v>1502</v>
      </c>
      <c r="G42" s="943">
        <f t="shared" si="50"/>
        <v>1624</v>
      </c>
      <c r="H42" s="943">
        <f t="shared" si="50"/>
        <v>1405</v>
      </c>
      <c r="I42" s="943">
        <f t="shared" si="50"/>
        <v>0</v>
      </c>
      <c r="J42" s="943">
        <f t="shared" si="50"/>
        <v>0</v>
      </c>
      <c r="K42" s="943">
        <f t="shared" si="50"/>
        <v>0</v>
      </c>
      <c r="L42" s="943">
        <f t="shared" si="50"/>
        <v>0</v>
      </c>
      <c r="M42" s="943">
        <f t="shared" si="50"/>
        <v>0</v>
      </c>
      <c r="N42" s="943">
        <f t="shared" si="50"/>
        <v>0</v>
      </c>
      <c r="O42" s="943">
        <f>O36-O38</f>
        <v>5445</v>
      </c>
      <c r="P42" s="943">
        <f>P36-P38</f>
        <v>4531</v>
      </c>
      <c r="Q42" s="943">
        <f>Q36-Q38</f>
        <v>0</v>
      </c>
      <c r="R42" s="943">
        <f>R36-R38</f>
        <v>0</v>
      </c>
      <c r="S42" s="942">
        <f t="shared" si="49"/>
        <v>9976</v>
      </c>
      <c r="T42" s="957"/>
    </row>
    <row r="43" spans="1:20" s="908" customFormat="1" ht="16.95" customHeight="1">
      <c r="A43" s="1019"/>
      <c r="B43" s="941" t="s">
        <v>261</v>
      </c>
      <c r="C43" s="946">
        <f t="shared" ref="C43:R43" si="51">IFERROR(C42/C41,0)</f>
        <v>10.74496644295302</v>
      </c>
      <c r="D43" s="946">
        <f t="shared" si="51"/>
        <v>14.571428571428571</v>
      </c>
      <c r="E43" s="946">
        <f t="shared" si="51"/>
        <v>14.543689320388349</v>
      </c>
      <c r="F43" s="946">
        <f t="shared" si="51"/>
        <v>14.871287128712872</v>
      </c>
      <c r="G43" s="946">
        <f t="shared" si="51"/>
        <v>14.763636363636364</v>
      </c>
      <c r="H43" s="946">
        <f t="shared" si="51"/>
        <v>13.774509803921569</v>
      </c>
      <c r="I43" s="946">
        <f t="shared" si="51"/>
        <v>0</v>
      </c>
      <c r="J43" s="946">
        <f t="shared" si="51"/>
        <v>0</v>
      </c>
      <c r="K43" s="946">
        <f t="shared" si="51"/>
        <v>0</v>
      </c>
      <c r="L43" s="946">
        <f t="shared" si="51"/>
        <v>0</v>
      </c>
      <c r="M43" s="946">
        <f t="shared" si="51"/>
        <v>0</v>
      </c>
      <c r="N43" s="946">
        <f t="shared" si="51"/>
        <v>0</v>
      </c>
      <c r="O43" s="946">
        <f t="shared" si="51"/>
        <v>13.184019370460048</v>
      </c>
      <c r="P43" s="946">
        <f t="shared" si="51"/>
        <v>14.476038338658148</v>
      </c>
      <c r="Q43" s="946">
        <f t="shared" si="51"/>
        <v>0</v>
      </c>
      <c r="R43" s="946">
        <f t="shared" si="51"/>
        <v>0</v>
      </c>
      <c r="S43" s="946">
        <f>IFERROR(S42/#REF!,0)</f>
        <v>0</v>
      </c>
      <c r="T43" s="957"/>
    </row>
    <row r="44" spans="1:20" ht="6" customHeight="1" thickBot="1">
      <c r="A44" s="948"/>
      <c r="B44" s="949"/>
      <c r="C44" s="949"/>
      <c r="D44" s="949"/>
      <c r="E44" s="949"/>
      <c r="F44" s="949"/>
      <c r="G44" s="949"/>
      <c r="H44" s="949"/>
      <c r="I44" s="949"/>
      <c r="J44" s="949"/>
      <c r="K44" s="949"/>
      <c r="L44" s="949"/>
      <c r="M44" s="949"/>
      <c r="N44" s="949"/>
      <c r="O44" s="950"/>
      <c r="P44" s="950"/>
      <c r="Q44" s="950"/>
      <c r="R44" s="950"/>
      <c r="S44" s="958"/>
      <c r="T44" s="931"/>
    </row>
    <row r="45" spans="1:20" s="908" customFormat="1" ht="21.75" customHeight="1">
      <c r="A45" s="959" t="s">
        <v>323</v>
      </c>
      <c r="B45" s="932" t="s">
        <v>187</v>
      </c>
      <c r="C45" s="954">
        <f>'3b-RM Report Data'!J76</f>
        <v>4</v>
      </c>
      <c r="D45" s="954">
        <f>'3b-RM Report Data'!Q76</f>
        <v>4</v>
      </c>
      <c r="E45" s="954">
        <f>'3b-RM Report Data'!X76</f>
        <v>5</v>
      </c>
      <c r="F45" s="954">
        <f>'3b-RM Report Data'!AE76</f>
        <v>4</v>
      </c>
      <c r="G45" s="954">
        <f>'3b-RM Report Data'!AL76</f>
        <v>4</v>
      </c>
      <c r="H45" s="954">
        <f>'3b-RM Report Data'!AS76</f>
        <v>5</v>
      </c>
      <c r="I45" s="954">
        <f>'3b-RM Report Data'!AZ76</f>
        <v>0</v>
      </c>
      <c r="J45" s="954">
        <f>'3b-RM Report Data'!BG76</f>
        <v>0</v>
      </c>
      <c r="K45" s="954">
        <f>'3b-RM Report Data'!BN76</f>
        <v>0</v>
      </c>
      <c r="L45" s="954">
        <f>'3b-RM Report Data'!BU76</f>
        <v>0</v>
      </c>
      <c r="M45" s="954">
        <f>'3b-RM Report Data'!CB76</f>
        <v>0</v>
      </c>
      <c r="N45" s="954">
        <f>'3b-RM Report Data'!CI76</f>
        <v>0</v>
      </c>
      <c r="O45" s="934">
        <f>C45+D45+E45</f>
        <v>13</v>
      </c>
      <c r="P45" s="934">
        <f>F45+G45+H45</f>
        <v>13</v>
      </c>
      <c r="Q45" s="934">
        <f>I45+J45+K45</f>
        <v>0</v>
      </c>
      <c r="R45" s="934">
        <f>L45+M45+N45</f>
        <v>0</v>
      </c>
      <c r="S45" s="935">
        <f>SUM(C45:N45)</f>
        <v>26</v>
      </c>
      <c r="T45" s="907"/>
    </row>
    <row r="46" spans="1:20" s="913" customFormat="1" ht="22.5" customHeight="1" thickBot="1">
      <c r="A46" s="960" t="s">
        <v>298</v>
      </c>
      <c r="B46" s="936" t="s">
        <v>244</v>
      </c>
      <c r="C46" s="915">
        <f>'3b-RM Report Data'!J106</f>
        <v>2</v>
      </c>
      <c r="D46" s="915">
        <f>'3b-RM Report Data'!Q106</f>
        <v>2</v>
      </c>
      <c r="E46" s="915">
        <f>'3b-RM Report Data'!X106</f>
        <v>2</v>
      </c>
      <c r="F46" s="915">
        <f>'3b-RM Report Data'!AE106</f>
        <v>2</v>
      </c>
      <c r="G46" s="915">
        <f>'3b-RM Report Data'!AL106</f>
        <v>2</v>
      </c>
      <c r="H46" s="915">
        <f>'3b-RM Report Data'!AS106</f>
        <v>2</v>
      </c>
      <c r="I46" s="915">
        <f>'3b-RM Report Data'!AZ106</f>
        <v>2</v>
      </c>
      <c r="J46" s="915">
        <f>'3b-RM Report Data'!BG106</f>
        <v>2</v>
      </c>
      <c r="K46" s="915">
        <f>'3b-RM Report Data'!BN106</f>
        <v>2</v>
      </c>
      <c r="L46" s="915">
        <f>'3b-RM Report Data'!BU106</f>
        <v>2</v>
      </c>
      <c r="M46" s="915">
        <f>'3b-RM Report Data'!CB106</f>
        <v>2</v>
      </c>
      <c r="N46" s="915">
        <f>'3b-RM Report Data'!CI106</f>
        <v>2</v>
      </c>
      <c r="O46" s="915">
        <f t="shared" ref="O46" si="52">MAX(C46,D46,E46)</f>
        <v>2</v>
      </c>
      <c r="P46" s="915">
        <f t="shared" ref="P46" si="53">MAX(F46,G46,H46)</f>
        <v>2</v>
      </c>
      <c r="Q46" s="915">
        <f t="shared" ref="Q46" si="54">MAX(I46,J46,K46)</f>
        <v>2</v>
      </c>
      <c r="R46" s="915">
        <f t="shared" ref="R46" si="55">MAX(L46,M46,N46)</f>
        <v>2</v>
      </c>
      <c r="S46" s="938">
        <f t="shared" ref="S46" si="56">MAX(C46:N46)</f>
        <v>2</v>
      </c>
      <c r="T46" s="939">
        <f>S46</f>
        <v>2</v>
      </c>
    </row>
    <row r="47" spans="1:20" s="924" customFormat="1" ht="16.5" customHeight="1">
      <c r="A47" s="918" t="s">
        <v>248</v>
      </c>
      <c r="B47" s="919" t="s">
        <v>45</v>
      </c>
      <c r="C47" s="904">
        <f>'3b-RM Report Data'!J25</f>
        <v>92</v>
      </c>
      <c r="D47" s="904">
        <f>'3b-RM Report Data'!Q25</f>
        <v>78</v>
      </c>
      <c r="E47" s="904">
        <f>'3b-RM Report Data'!X25</f>
        <v>119</v>
      </c>
      <c r="F47" s="904">
        <f>'3b-RM Report Data'!AE25</f>
        <v>80</v>
      </c>
      <c r="G47" s="904">
        <f>'3b-RM Report Data'!AL25</f>
        <v>99</v>
      </c>
      <c r="H47" s="904">
        <f>'3b-RM Report Data'!AS25</f>
        <v>99</v>
      </c>
      <c r="I47" s="904">
        <f>'3b-RM Report Data'!AZ25</f>
        <v>0</v>
      </c>
      <c r="J47" s="904">
        <f>'3b-RM Report Data'!BG25</f>
        <v>0</v>
      </c>
      <c r="K47" s="904">
        <f>'3b-RM Report Data'!BN25</f>
        <v>0</v>
      </c>
      <c r="L47" s="904">
        <f>'3b-RM Report Data'!BU25</f>
        <v>0</v>
      </c>
      <c r="M47" s="904">
        <f>'3b-RM Report Data'!CB25</f>
        <v>0</v>
      </c>
      <c r="N47" s="904">
        <f>'3b-RM Report Data'!CI25</f>
        <v>0</v>
      </c>
      <c r="O47" s="921">
        <f t="shared" ref="O47:O52" si="57">SUM(C47:E47)</f>
        <v>289</v>
      </c>
      <c r="P47" s="921">
        <f t="shared" ref="P47:P52" si="58">SUM(F47:H47)</f>
        <v>278</v>
      </c>
      <c r="Q47" s="921">
        <f t="shared" ref="Q47:Q52" si="59">SUM(I47:K47)</f>
        <v>0</v>
      </c>
      <c r="R47" s="921">
        <f>SUM(L47:N47)</f>
        <v>0</v>
      </c>
      <c r="S47" s="922">
        <f t="shared" ref="S47:S52" si="60">SUM(C47:N47)</f>
        <v>567</v>
      </c>
      <c r="T47" s="940">
        <f t="shared" ref="T47:T52" si="61">IFERROR(S47/$S$45,0)</f>
        <v>21.807692307692307</v>
      </c>
    </row>
    <row r="48" spans="1:20" s="924" customFormat="1" ht="16.5" customHeight="1">
      <c r="A48" s="925" t="s">
        <v>245</v>
      </c>
      <c r="B48" s="903" t="s">
        <v>279</v>
      </c>
      <c r="C48" s="922">
        <f>Miles!C9</f>
        <v>1391</v>
      </c>
      <c r="D48" s="922">
        <f>Miles!D9</f>
        <v>1260</v>
      </c>
      <c r="E48" s="922">
        <f>Miles!E9</f>
        <v>1896</v>
      </c>
      <c r="F48" s="922">
        <f>Miles!F9</f>
        <v>1233</v>
      </c>
      <c r="G48" s="922">
        <f>Miles!G9</f>
        <v>1446</v>
      </c>
      <c r="H48" s="922">
        <f>Miles!H9</f>
        <v>1542</v>
      </c>
      <c r="I48" s="922">
        <f>Miles!I9</f>
        <v>0</v>
      </c>
      <c r="J48" s="922">
        <f>Miles!J9</f>
        <v>0</v>
      </c>
      <c r="K48" s="922">
        <f>Miles!K9</f>
        <v>0</v>
      </c>
      <c r="L48" s="922">
        <f>Miles!L9</f>
        <v>0</v>
      </c>
      <c r="M48" s="922">
        <f>Miles!M9</f>
        <v>0</v>
      </c>
      <c r="N48" s="922">
        <f>Miles!N9</f>
        <v>0</v>
      </c>
      <c r="O48" s="921">
        <f t="shared" si="57"/>
        <v>4547</v>
      </c>
      <c r="P48" s="921">
        <f t="shared" si="58"/>
        <v>4221</v>
      </c>
      <c r="Q48" s="921">
        <f t="shared" si="59"/>
        <v>0</v>
      </c>
      <c r="R48" s="921">
        <f t="shared" ref="R48:R52" si="62">SUM(L48:N48)</f>
        <v>0</v>
      </c>
      <c r="S48" s="922">
        <f t="shared" si="60"/>
        <v>8768</v>
      </c>
      <c r="T48" s="940">
        <f t="shared" si="61"/>
        <v>337.23076923076923</v>
      </c>
    </row>
    <row r="49" spans="1:20" s="924" customFormat="1" ht="16.5" customHeight="1">
      <c r="A49" s="925" t="s">
        <v>249</v>
      </c>
      <c r="B49" s="926" t="s">
        <v>109</v>
      </c>
      <c r="C49" s="904">
        <f>'3b-RM Report Data'!J26</f>
        <v>57</v>
      </c>
      <c r="D49" s="904">
        <f>'3b-RM Report Data'!Q26</f>
        <v>40</v>
      </c>
      <c r="E49" s="904">
        <f>'3b-RM Report Data'!X26</f>
        <v>68</v>
      </c>
      <c r="F49" s="904">
        <f>'3b-RM Report Data'!AE26</f>
        <v>49</v>
      </c>
      <c r="G49" s="904">
        <f>'3b-RM Report Data'!AL26</f>
        <v>47</v>
      </c>
      <c r="H49" s="904">
        <f>'3b-RM Report Data'!AS26</f>
        <v>53</v>
      </c>
      <c r="I49" s="904">
        <f>'3b-RM Report Data'!AZ26</f>
        <v>0</v>
      </c>
      <c r="J49" s="904">
        <f>'3b-RM Report Data'!BG26</f>
        <v>0</v>
      </c>
      <c r="K49" s="904">
        <f>'3b-RM Report Data'!BN26</f>
        <v>0</v>
      </c>
      <c r="L49" s="904">
        <f>'3b-RM Report Data'!BU26</f>
        <v>0</v>
      </c>
      <c r="M49" s="904">
        <f>'3b-RM Report Data'!CB26</f>
        <v>0</v>
      </c>
      <c r="N49" s="904">
        <f>'3b-RM Report Data'!CI26</f>
        <v>0</v>
      </c>
      <c r="O49" s="921">
        <f t="shared" si="57"/>
        <v>165</v>
      </c>
      <c r="P49" s="921">
        <f t="shared" si="58"/>
        <v>149</v>
      </c>
      <c r="Q49" s="921">
        <f t="shared" si="59"/>
        <v>0</v>
      </c>
      <c r="R49" s="921">
        <f t="shared" si="62"/>
        <v>0</v>
      </c>
      <c r="S49" s="922">
        <f t="shared" si="60"/>
        <v>314</v>
      </c>
      <c r="T49" s="940">
        <f t="shared" si="61"/>
        <v>12.076923076923077</v>
      </c>
    </row>
    <row r="50" spans="1:20" s="924" customFormat="1" ht="16.5" customHeight="1">
      <c r="A50" s="925" t="s">
        <v>246</v>
      </c>
      <c r="B50" s="926" t="s">
        <v>47</v>
      </c>
      <c r="C50" s="904">
        <f>'3b-RM Report Data'!J23</f>
        <v>1006</v>
      </c>
      <c r="D50" s="904">
        <f>'3b-RM Report Data'!Q23</f>
        <v>840</v>
      </c>
      <c r="E50" s="904">
        <f>'3b-RM Report Data'!X23</f>
        <v>1296</v>
      </c>
      <c r="F50" s="904">
        <f>'3b-RM Report Data'!AE23</f>
        <v>851</v>
      </c>
      <c r="G50" s="904">
        <f>'3b-RM Report Data'!AL23</f>
        <v>885</v>
      </c>
      <c r="H50" s="904">
        <f>'3b-RM Report Data'!AS23</f>
        <v>1018</v>
      </c>
      <c r="I50" s="904">
        <f>'3b-RM Report Data'!AZ23</f>
        <v>0</v>
      </c>
      <c r="J50" s="904">
        <f>'3b-RM Report Data'!BG23</f>
        <v>0</v>
      </c>
      <c r="K50" s="904">
        <f>'3b-RM Report Data'!BN23</f>
        <v>0</v>
      </c>
      <c r="L50" s="904">
        <f>'3b-RM Report Data'!BU23</f>
        <v>0</v>
      </c>
      <c r="M50" s="904">
        <f>'3b-RM Report Data'!CB23</f>
        <v>0</v>
      </c>
      <c r="N50" s="904">
        <f>'3b-RM Report Data'!CI23</f>
        <v>0</v>
      </c>
      <c r="O50" s="921">
        <f t="shared" si="57"/>
        <v>3142</v>
      </c>
      <c r="P50" s="921">
        <f t="shared" si="58"/>
        <v>2754</v>
      </c>
      <c r="Q50" s="921">
        <f t="shared" si="59"/>
        <v>0</v>
      </c>
      <c r="R50" s="921">
        <f t="shared" si="62"/>
        <v>0</v>
      </c>
      <c r="S50" s="922">
        <f t="shared" si="60"/>
        <v>5896</v>
      </c>
      <c r="T50" s="940">
        <f t="shared" si="61"/>
        <v>226.76923076923077</v>
      </c>
    </row>
    <row r="51" spans="1:20" s="908" customFormat="1" ht="16.5" customHeight="1">
      <c r="A51" s="925" t="s">
        <v>251</v>
      </c>
      <c r="B51" s="926" t="s">
        <v>241</v>
      </c>
      <c r="C51" s="904">
        <f>'3b-RM Report Data'!J24</f>
        <v>806</v>
      </c>
      <c r="D51" s="904">
        <f>'3b-RM Report Data'!Q24</f>
        <v>648</v>
      </c>
      <c r="E51" s="904">
        <f>'3b-RM Report Data'!X24</f>
        <v>1188</v>
      </c>
      <c r="F51" s="904">
        <f>'3b-RM Report Data'!AE24</f>
        <v>634</v>
      </c>
      <c r="G51" s="904">
        <f>'3b-RM Report Data'!AL24</f>
        <v>770</v>
      </c>
      <c r="H51" s="904">
        <f>'3b-RM Report Data'!AS24</f>
        <v>911</v>
      </c>
      <c r="I51" s="904">
        <f>'3b-RM Report Data'!AZ24</f>
        <v>0</v>
      </c>
      <c r="J51" s="904">
        <f>'3b-RM Report Data'!BG24</f>
        <v>0</v>
      </c>
      <c r="K51" s="904">
        <f>'3b-RM Report Data'!BN24</f>
        <v>0</v>
      </c>
      <c r="L51" s="904">
        <f>'3b-RM Report Data'!BU24</f>
        <v>0</v>
      </c>
      <c r="M51" s="904">
        <f>'3b-RM Report Data'!CB24</f>
        <v>0</v>
      </c>
      <c r="N51" s="904">
        <f>'3b-RM Report Data'!CI24</f>
        <v>0</v>
      </c>
      <c r="O51" s="921">
        <f t="shared" si="57"/>
        <v>2642</v>
      </c>
      <c r="P51" s="921">
        <f t="shared" si="58"/>
        <v>2315</v>
      </c>
      <c r="Q51" s="921">
        <f t="shared" si="59"/>
        <v>0</v>
      </c>
      <c r="R51" s="921">
        <f t="shared" si="62"/>
        <v>0</v>
      </c>
      <c r="S51" s="922">
        <f t="shared" si="60"/>
        <v>4957</v>
      </c>
      <c r="T51" s="940">
        <f t="shared" si="61"/>
        <v>190.65384615384616</v>
      </c>
    </row>
    <row r="52" spans="1:20" s="924" customFormat="1" ht="16.5" customHeight="1">
      <c r="A52" s="925" t="s">
        <v>260</v>
      </c>
      <c r="B52" s="903" t="s">
        <v>115</v>
      </c>
      <c r="C52" s="922">
        <f>Trips!H9</f>
        <v>129</v>
      </c>
      <c r="D52" s="922">
        <f>Trips!O9</f>
        <v>93</v>
      </c>
      <c r="E52" s="922">
        <f>Trips!V9</f>
        <v>147</v>
      </c>
      <c r="F52" s="922">
        <f>Trips!AC9</f>
        <v>104</v>
      </c>
      <c r="G52" s="922">
        <f>Trips!AJ9</f>
        <v>103</v>
      </c>
      <c r="H52" s="922">
        <f>Trips!AQ9</f>
        <v>119</v>
      </c>
      <c r="I52" s="922">
        <f>Trips!AX9</f>
        <v>0</v>
      </c>
      <c r="J52" s="922">
        <f>Trips!BE9</f>
        <v>0</v>
      </c>
      <c r="K52" s="922">
        <f>Trips!BL9</f>
        <v>0</v>
      </c>
      <c r="L52" s="922">
        <f>Trips!BS9</f>
        <v>0</v>
      </c>
      <c r="M52" s="922">
        <f>Trips!BZ9</f>
        <v>0</v>
      </c>
      <c r="N52" s="922">
        <f>Trips!CG9</f>
        <v>0</v>
      </c>
      <c r="O52" s="921">
        <f t="shared" si="57"/>
        <v>369</v>
      </c>
      <c r="P52" s="921">
        <f t="shared" si="58"/>
        <v>326</v>
      </c>
      <c r="Q52" s="921">
        <f t="shared" si="59"/>
        <v>0</v>
      </c>
      <c r="R52" s="921">
        <f t="shared" si="62"/>
        <v>0</v>
      </c>
      <c r="S52" s="922">
        <f t="shared" si="60"/>
        <v>695</v>
      </c>
      <c r="T52" s="940">
        <f t="shared" si="61"/>
        <v>26.73076923076923</v>
      </c>
    </row>
    <row r="53" spans="1:20" s="908" customFormat="1" ht="16.95" customHeight="1">
      <c r="A53" s="1017" t="s">
        <v>268</v>
      </c>
      <c r="B53" s="941" t="s">
        <v>250</v>
      </c>
      <c r="C53" s="942">
        <f t="shared" ref="C53:N53" si="63">C47-C49</f>
        <v>35</v>
      </c>
      <c r="D53" s="942">
        <f t="shared" si="63"/>
        <v>38</v>
      </c>
      <c r="E53" s="942">
        <f t="shared" si="63"/>
        <v>51</v>
      </c>
      <c r="F53" s="942">
        <f t="shared" si="63"/>
        <v>31</v>
      </c>
      <c r="G53" s="942">
        <f t="shared" si="63"/>
        <v>52</v>
      </c>
      <c r="H53" s="942">
        <f t="shared" si="63"/>
        <v>46</v>
      </c>
      <c r="I53" s="942">
        <f t="shared" si="63"/>
        <v>0</v>
      </c>
      <c r="J53" s="942">
        <f t="shared" si="63"/>
        <v>0</v>
      </c>
      <c r="K53" s="942">
        <f t="shared" si="63"/>
        <v>0</v>
      </c>
      <c r="L53" s="942">
        <f t="shared" si="63"/>
        <v>0</v>
      </c>
      <c r="M53" s="942">
        <f t="shared" si="63"/>
        <v>0</v>
      </c>
      <c r="N53" s="942">
        <f t="shared" si="63"/>
        <v>0</v>
      </c>
      <c r="O53" s="943">
        <f>C53+D53+E53</f>
        <v>124</v>
      </c>
      <c r="P53" s="943">
        <f>F53+G53+H53</f>
        <v>129</v>
      </c>
      <c r="Q53" s="943">
        <f>I53+J53+K53</f>
        <v>0</v>
      </c>
      <c r="R53" s="943">
        <f>L53+M53+N53</f>
        <v>0</v>
      </c>
      <c r="S53" s="943">
        <f t="shared" ref="S53:S54" si="64">SUM(C53:N53)</f>
        <v>253</v>
      </c>
      <c r="T53" s="957"/>
    </row>
    <row r="54" spans="1:20" s="908" customFormat="1" ht="16.95" customHeight="1">
      <c r="A54" s="1018"/>
      <c r="B54" s="941" t="s">
        <v>247</v>
      </c>
      <c r="C54" s="942">
        <f t="shared" ref="C54:N54" si="65">C48-C50</f>
        <v>385</v>
      </c>
      <c r="D54" s="942">
        <f t="shared" si="65"/>
        <v>420</v>
      </c>
      <c r="E54" s="942">
        <f t="shared" si="65"/>
        <v>600</v>
      </c>
      <c r="F54" s="942">
        <f t="shared" si="65"/>
        <v>382</v>
      </c>
      <c r="G54" s="942">
        <f t="shared" si="65"/>
        <v>561</v>
      </c>
      <c r="H54" s="942">
        <f t="shared" si="65"/>
        <v>524</v>
      </c>
      <c r="I54" s="942">
        <f t="shared" si="65"/>
        <v>0</v>
      </c>
      <c r="J54" s="942">
        <f t="shared" si="65"/>
        <v>0</v>
      </c>
      <c r="K54" s="942">
        <f t="shared" si="65"/>
        <v>0</v>
      </c>
      <c r="L54" s="942">
        <f t="shared" si="65"/>
        <v>0</v>
      </c>
      <c r="M54" s="942">
        <f t="shared" si="65"/>
        <v>0</v>
      </c>
      <c r="N54" s="942">
        <f t="shared" si="65"/>
        <v>0</v>
      </c>
      <c r="O54" s="943">
        <f>O48-O50</f>
        <v>1405</v>
      </c>
      <c r="P54" s="943">
        <f>P48-P50</f>
        <v>1467</v>
      </c>
      <c r="Q54" s="943">
        <f>Q48-Q50</f>
        <v>0</v>
      </c>
      <c r="R54" s="943">
        <f>R48-R50</f>
        <v>0</v>
      </c>
      <c r="S54" s="943">
        <f t="shared" si="64"/>
        <v>2872</v>
      </c>
      <c r="T54" s="957"/>
    </row>
    <row r="55" spans="1:20" s="908" customFormat="1" ht="16.5" customHeight="1">
      <c r="A55" s="1019"/>
      <c r="B55" s="941" t="s">
        <v>261</v>
      </c>
      <c r="C55" s="946">
        <f t="shared" ref="C55:R55" si="66">IFERROR(C54/C53,0)</f>
        <v>11</v>
      </c>
      <c r="D55" s="946">
        <f t="shared" si="66"/>
        <v>11.052631578947368</v>
      </c>
      <c r="E55" s="946">
        <f t="shared" si="66"/>
        <v>11.764705882352942</v>
      </c>
      <c r="F55" s="946">
        <f t="shared" si="66"/>
        <v>12.32258064516129</v>
      </c>
      <c r="G55" s="946">
        <f t="shared" si="66"/>
        <v>10.788461538461538</v>
      </c>
      <c r="H55" s="946">
        <f t="shared" si="66"/>
        <v>11.391304347826088</v>
      </c>
      <c r="I55" s="946">
        <f t="shared" si="66"/>
        <v>0</v>
      </c>
      <c r="J55" s="946">
        <f t="shared" si="66"/>
        <v>0</v>
      </c>
      <c r="K55" s="946">
        <f t="shared" si="66"/>
        <v>0</v>
      </c>
      <c r="L55" s="946">
        <f t="shared" si="66"/>
        <v>0</v>
      </c>
      <c r="M55" s="946">
        <f t="shared" si="66"/>
        <v>0</v>
      </c>
      <c r="N55" s="946">
        <f t="shared" si="66"/>
        <v>0</v>
      </c>
      <c r="O55" s="946">
        <f t="shared" si="66"/>
        <v>11.330645161290322</v>
      </c>
      <c r="P55" s="946">
        <f t="shared" si="66"/>
        <v>11.372093023255815</v>
      </c>
      <c r="Q55" s="946">
        <f t="shared" si="66"/>
        <v>0</v>
      </c>
      <c r="R55" s="946">
        <f t="shared" si="66"/>
        <v>0</v>
      </c>
      <c r="S55" s="946">
        <f>IFERROR(S54/#REF!,0)</f>
        <v>0</v>
      </c>
      <c r="T55" s="957"/>
    </row>
    <row r="56" spans="1:20" ht="6" customHeight="1" thickBot="1">
      <c r="A56" s="927"/>
      <c r="B56" s="928"/>
      <c r="C56" s="928"/>
      <c r="D56" s="928"/>
      <c r="E56" s="928"/>
      <c r="F56" s="928"/>
      <c r="G56" s="928"/>
      <c r="H56" s="928"/>
      <c r="I56" s="928"/>
      <c r="J56" s="928"/>
      <c r="K56" s="928"/>
      <c r="L56" s="928"/>
      <c r="M56" s="928"/>
      <c r="N56" s="928"/>
      <c r="O56" s="929"/>
      <c r="P56" s="929"/>
      <c r="Q56" s="929"/>
      <c r="R56" s="929"/>
      <c r="S56" s="930"/>
      <c r="T56" s="931"/>
    </row>
    <row r="57" spans="1:20" s="908" customFormat="1" ht="16.5" customHeight="1">
      <c r="A57" s="961" t="s">
        <v>262</v>
      </c>
      <c r="B57" s="932" t="s">
        <v>187</v>
      </c>
      <c r="C57" s="933">
        <f t="shared" ref="C57:N57" si="67">C21+C33+C45</f>
        <v>31</v>
      </c>
      <c r="D57" s="933">
        <f t="shared" si="67"/>
        <v>31</v>
      </c>
      <c r="E57" s="933">
        <f t="shared" si="67"/>
        <v>30</v>
      </c>
      <c r="F57" s="933">
        <f t="shared" si="67"/>
        <v>31</v>
      </c>
      <c r="G57" s="933">
        <f t="shared" si="67"/>
        <v>29</v>
      </c>
      <c r="H57" s="933">
        <f t="shared" si="67"/>
        <v>30</v>
      </c>
      <c r="I57" s="933">
        <f t="shared" si="67"/>
        <v>0</v>
      </c>
      <c r="J57" s="933">
        <f t="shared" si="67"/>
        <v>0</v>
      </c>
      <c r="K57" s="933">
        <f t="shared" si="67"/>
        <v>0</v>
      </c>
      <c r="L57" s="933">
        <f t="shared" si="67"/>
        <v>0</v>
      </c>
      <c r="M57" s="933">
        <f t="shared" si="67"/>
        <v>0</v>
      </c>
      <c r="N57" s="933">
        <f t="shared" si="67"/>
        <v>0</v>
      </c>
      <c r="O57" s="934">
        <f>C57+D57+E57</f>
        <v>92</v>
      </c>
      <c r="P57" s="934">
        <f>F57+G57+H57</f>
        <v>90</v>
      </c>
      <c r="Q57" s="934">
        <f>I57+J57+K57</f>
        <v>0</v>
      </c>
      <c r="R57" s="934">
        <f>L57+M57+N57</f>
        <v>0</v>
      </c>
      <c r="S57" s="935">
        <f>SUM(C57:N57)</f>
        <v>182</v>
      </c>
      <c r="T57" s="907"/>
    </row>
    <row r="58" spans="1:20" s="913" customFormat="1" ht="16.5" customHeight="1" thickBot="1">
      <c r="A58" s="962" t="s">
        <v>297</v>
      </c>
      <c r="B58" s="936" t="s">
        <v>244</v>
      </c>
      <c r="C58" s="937">
        <f>'3b-RM Report Data'!J104</f>
        <v>34</v>
      </c>
      <c r="D58" s="937">
        <f>'3b-RM Report Data'!Q104</f>
        <v>34</v>
      </c>
      <c r="E58" s="937">
        <f>'3b-RM Report Data'!X104</f>
        <v>34</v>
      </c>
      <c r="F58" s="937">
        <f>'3b-RM Report Data'!AE104</f>
        <v>34</v>
      </c>
      <c r="G58" s="937">
        <f>'3b-RM Report Data'!AL104</f>
        <v>34</v>
      </c>
      <c r="H58" s="937">
        <f>'3b-RM Report Data'!AS104</f>
        <v>34</v>
      </c>
      <c r="I58" s="937">
        <f>'3b-RM Report Data'!AZ104</f>
        <v>34</v>
      </c>
      <c r="J58" s="937">
        <f>'3b-RM Report Data'!BG104</f>
        <v>34</v>
      </c>
      <c r="K58" s="937">
        <f>'3b-RM Report Data'!BN104</f>
        <v>34</v>
      </c>
      <c r="L58" s="937">
        <f>'3b-RM Report Data'!BU104</f>
        <v>34</v>
      </c>
      <c r="M58" s="937">
        <f>'3b-RM Report Data'!CB104</f>
        <v>34</v>
      </c>
      <c r="N58" s="937">
        <f>'3b-RM Report Data'!CI104</f>
        <v>34</v>
      </c>
      <c r="O58" s="915">
        <f t="shared" ref="O58" si="68">MAX(C58,D58,E58)</f>
        <v>34</v>
      </c>
      <c r="P58" s="915">
        <f t="shared" ref="P58" si="69">MAX(F58,G58,H58)</f>
        <v>34</v>
      </c>
      <c r="Q58" s="915">
        <f t="shared" ref="Q58" si="70">MAX(I58,J58,K58)</f>
        <v>34</v>
      </c>
      <c r="R58" s="915">
        <f t="shared" ref="R58" si="71">MAX(L58,M58,N58)</f>
        <v>34</v>
      </c>
      <c r="S58" s="963">
        <f t="shared" ref="S58" si="72">MAX(C58:N58)</f>
        <v>34</v>
      </c>
      <c r="T58" s="939">
        <f>S58</f>
        <v>34</v>
      </c>
    </row>
    <row r="59" spans="1:20" s="924" customFormat="1" ht="16.5" customHeight="1">
      <c r="A59" s="918" t="s">
        <v>248</v>
      </c>
      <c r="B59" s="919" t="s">
        <v>45</v>
      </c>
      <c r="C59" s="922">
        <f t="shared" ref="C59:N59" si="73">C23+C35+C47</f>
        <v>7294.82</v>
      </c>
      <c r="D59" s="922">
        <f t="shared" si="73"/>
        <v>7340.08</v>
      </c>
      <c r="E59" s="922">
        <f t="shared" si="73"/>
        <v>6609.45</v>
      </c>
      <c r="F59" s="922">
        <f t="shared" si="73"/>
        <v>7400.6</v>
      </c>
      <c r="G59" s="922">
        <f t="shared" si="73"/>
        <v>6297.58</v>
      </c>
      <c r="H59" s="922">
        <f t="shared" si="73"/>
        <v>6297.03</v>
      </c>
      <c r="I59" s="922">
        <f t="shared" si="73"/>
        <v>0</v>
      </c>
      <c r="J59" s="922">
        <f t="shared" si="73"/>
        <v>0</v>
      </c>
      <c r="K59" s="922">
        <f t="shared" si="73"/>
        <v>0</v>
      </c>
      <c r="L59" s="922">
        <f t="shared" si="73"/>
        <v>0</v>
      </c>
      <c r="M59" s="922">
        <f t="shared" si="73"/>
        <v>0</v>
      </c>
      <c r="N59" s="922">
        <f t="shared" si="73"/>
        <v>0</v>
      </c>
      <c r="O59" s="921">
        <f t="shared" ref="O59:O64" si="74">SUM(C59:E59)</f>
        <v>21244.35</v>
      </c>
      <c r="P59" s="921">
        <f t="shared" ref="P59:P64" si="75">SUM(F59:H59)</f>
        <v>19995.21</v>
      </c>
      <c r="Q59" s="921">
        <f t="shared" ref="Q59:Q64" si="76">SUM(I59:K59)</f>
        <v>0</v>
      </c>
      <c r="R59" s="921">
        <f>SUM(L59:N59)</f>
        <v>0</v>
      </c>
      <c r="S59" s="922">
        <f t="shared" ref="S59:S63" si="77">SUM(C59:N59)</f>
        <v>41239.56</v>
      </c>
      <c r="T59" s="940">
        <f t="shared" ref="T59:T64" si="78">IFERROR(S59/$S$57,0)</f>
        <v>226.59098901098901</v>
      </c>
    </row>
    <row r="60" spans="1:20" s="924" customFormat="1" ht="16.5" customHeight="1">
      <c r="A60" s="925" t="s">
        <v>245</v>
      </c>
      <c r="B60" s="903" t="s">
        <v>46</v>
      </c>
      <c r="C60" s="922">
        <f t="shared" ref="C60:N60" si="79">C24+C36+C48</f>
        <v>124232</v>
      </c>
      <c r="D60" s="922">
        <f t="shared" si="79"/>
        <v>127770</v>
      </c>
      <c r="E60" s="922">
        <f t="shared" si="79"/>
        <v>116338</v>
      </c>
      <c r="F60" s="922">
        <f t="shared" si="79"/>
        <v>131496</v>
      </c>
      <c r="G60" s="922">
        <f t="shared" si="79"/>
        <v>108468</v>
      </c>
      <c r="H60" s="922">
        <f t="shared" si="79"/>
        <v>108532</v>
      </c>
      <c r="I60" s="922">
        <f t="shared" si="79"/>
        <v>0</v>
      </c>
      <c r="J60" s="922">
        <f t="shared" si="79"/>
        <v>0</v>
      </c>
      <c r="K60" s="922">
        <f t="shared" si="79"/>
        <v>0</v>
      </c>
      <c r="L60" s="922">
        <f t="shared" si="79"/>
        <v>0</v>
      </c>
      <c r="M60" s="922">
        <f t="shared" si="79"/>
        <v>0</v>
      </c>
      <c r="N60" s="922">
        <f t="shared" si="79"/>
        <v>0</v>
      </c>
      <c r="O60" s="921">
        <f t="shared" si="74"/>
        <v>368340</v>
      </c>
      <c r="P60" s="921">
        <f t="shared" si="75"/>
        <v>348496</v>
      </c>
      <c r="Q60" s="921">
        <f t="shared" si="76"/>
        <v>0</v>
      </c>
      <c r="R60" s="921">
        <f t="shared" ref="R60:R64" si="80">SUM(L60:N60)</f>
        <v>0</v>
      </c>
      <c r="S60" s="922">
        <f t="shared" si="77"/>
        <v>716836</v>
      </c>
      <c r="T60" s="940">
        <f t="shared" si="78"/>
        <v>3938.6593406593406</v>
      </c>
    </row>
    <row r="61" spans="1:20" s="924" customFormat="1" ht="16.5" customHeight="1">
      <c r="A61" s="925" t="s">
        <v>249</v>
      </c>
      <c r="B61" s="926" t="s">
        <v>109</v>
      </c>
      <c r="C61" s="922">
        <f t="shared" ref="C61:N61" si="81">C25+C37+C49</f>
        <v>5509.4</v>
      </c>
      <c r="D61" s="922">
        <f t="shared" si="81"/>
        <v>5692.15</v>
      </c>
      <c r="E61" s="922">
        <f t="shared" si="81"/>
        <v>5199.12</v>
      </c>
      <c r="F61" s="922">
        <f t="shared" si="81"/>
        <v>5887.18</v>
      </c>
      <c r="G61" s="922">
        <f t="shared" si="81"/>
        <v>4809.2</v>
      </c>
      <c r="H61" s="922">
        <f t="shared" si="81"/>
        <v>4840.67</v>
      </c>
      <c r="I61" s="922">
        <f t="shared" si="81"/>
        <v>0</v>
      </c>
      <c r="J61" s="922">
        <f t="shared" si="81"/>
        <v>0</v>
      </c>
      <c r="K61" s="922">
        <f t="shared" si="81"/>
        <v>0</v>
      </c>
      <c r="L61" s="922">
        <f t="shared" si="81"/>
        <v>0</v>
      </c>
      <c r="M61" s="922">
        <f t="shared" si="81"/>
        <v>0</v>
      </c>
      <c r="N61" s="922">
        <f t="shared" si="81"/>
        <v>0</v>
      </c>
      <c r="O61" s="921">
        <f t="shared" si="74"/>
        <v>16400.669999999998</v>
      </c>
      <c r="P61" s="921">
        <f t="shared" si="75"/>
        <v>15537.050000000001</v>
      </c>
      <c r="Q61" s="921">
        <f t="shared" si="76"/>
        <v>0</v>
      </c>
      <c r="R61" s="921">
        <f t="shared" si="80"/>
        <v>0</v>
      </c>
      <c r="S61" s="922">
        <f t="shared" si="77"/>
        <v>31937.72</v>
      </c>
      <c r="T61" s="940">
        <f t="shared" si="78"/>
        <v>175.48197802197802</v>
      </c>
    </row>
    <row r="62" spans="1:20" s="924" customFormat="1" ht="16.5" customHeight="1">
      <c r="A62" s="925" t="s">
        <v>246</v>
      </c>
      <c r="B62" s="926" t="s">
        <v>47</v>
      </c>
      <c r="C62" s="922">
        <f t="shared" ref="C62:N62" si="82">C26+C38+C50</f>
        <v>97974</v>
      </c>
      <c r="D62" s="922">
        <f t="shared" si="82"/>
        <v>102140</v>
      </c>
      <c r="E62" s="922">
        <f t="shared" si="82"/>
        <v>94250</v>
      </c>
      <c r="F62" s="922">
        <f t="shared" si="82"/>
        <v>106728</v>
      </c>
      <c r="G62" s="922">
        <f t="shared" si="82"/>
        <v>85967</v>
      </c>
      <c r="H62" s="922">
        <f t="shared" si="82"/>
        <v>86544</v>
      </c>
      <c r="I62" s="922">
        <f t="shared" si="82"/>
        <v>0</v>
      </c>
      <c r="J62" s="922">
        <f t="shared" si="82"/>
        <v>0</v>
      </c>
      <c r="K62" s="922">
        <f t="shared" si="82"/>
        <v>0</v>
      </c>
      <c r="L62" s="922">
        <f t="shared" si="82"/>
        <v>0</v>
      </c>
      <c r="M62" s="922">
        <f t="shared" si="82"/>
        <v>0</v>
      </c>
      <c r="N62" s="922">
        <f t="shared" si="82"/>
        <v>0</v>
      </c>
      <c r="O62" s="921">
        <f t="shared" si="74"/>
        <v>294364</v>
      </c>
      <c r="P62" s="921">
        <f t="shared" si="75"/>
        <v>279239</v>
      </c>
      <c r="Q62" s="921">
        <f t="shared" si="76"/>
        <v>0</v>
      </c>
      <c r="R62" s="921">
        <f t="shared" si="80"/>
        <v>0</v>
      </c>
      <c r="S62" s="922">
        <f t="shared" si="77"/>
        <v>573603</v>
      </c>
      <c r="T62" s="940">
        <f t="shared" si="78"/>
        <v>3151.664835164835</v>
      </c>
    </row>
    <row r="63" spans="1:20" s="908" customFormat="1" ht="16.5" customHeight="1">
      <c r="A63" s="925" t="s">
        <v>251</v>
      </c>
      <c r="B63" s="926" t="s">
        <v>241</v>
      </c>
      <c r="C63" s="922">
        <f t="shared" ref="C63:N63" si="83">C27+C39+C51</f>
        <v>142300</v>
      </c>
      <c r="D63" s="922">
        <f t="shared" si="83"/>
        <v>147668</v>
      </c>
      <c r="E63" s="922">
        <f t="shared" si="83"/>
        <v>134647</v>
      </c>
      <c r="F63" s="922">
        <f t="shared" si="83"/>
        <v>154146</v>
      </c>
      <c r="G63" s="922">
        <f t="shared" si="83"/>
        <v>127995</v>
      </c>
      <c r="H63" s="922">
        <f t="shared" si="83"/>
        <v>125025</v>
      </c>
      <c r="I63" s="922">
        <f t="shared" si="83"/>
        <v>0</v>
      </c>
      <c r="J63" s="922">
        <f t="shared" si="83"/>
        <v>0</v>
      </c>
      <c r="K63" s="922">
        <f t="shared" si="83"/>
        <v>0</v>
      </c>
      <c r="L63" s="922">
        <f t="shared" si="83"/>
        <v>0</v>
      </c>
      <c r="M63" s="922">
        <f t="shared" si="83"/>
        <v>0</v>
      </c>
      <c r="N63" s="922">
        <f t="shared" si="83"/>
        <v>0</v>
      </c>
      <c r="O63" s="921">
        <f t="shared" si="74"/>
        <v>424615</v>
      </c>
      <c r="P63" s="921">
        <f t="shared" si="75"/>
        <v>407166</v>
      </c>
      <c r="Q63" s="921">
        <f t="shared" si="76"/>
        <v>0</v>
      </c>
      <c r="R63" s="921">
        <f t="shared" si="80"/>
        <v>0</v>
      </c>
      <c r="S63" s="922">
        <f t="shared" si="77"/>
        <v>831781</v>
      </c>
      <c r="T63" s="940">
        <f t="shared" si="78"/>
        <v>4570.2252747252751</v>
      </c>
    </row>
    <row r="64" spans="1:20" s="924" customFormat="1" ht="16.5" customHeight="1">
      <c r="A64" s="925" t="s">
        <v>260</v>
      </c>
      <c r="B64" s="903" t="s">
        <v>115</v>
      </c>
      <c r="C64" s="922">
        <f t="shared" ref="C64:N64" si="84">C28+C40+C52</f>
        <v>13721</v>
      </c>
      <c r="D64" s="922">
        <f t="shared" si="84"/>
        <v>14302</v>
      </c>
      <c r="E64" s="922">
        <f t="shared" si="84"/>
        <v>13100</v>
      </c>
      <c r="F64" s="922">
        <f t="shared" si="84"/>
        <v>14931</v>
      </c>
      <c r="G64" s="922">
        <f t="shared" si="84"/>
        <v>12274</v>
      </c>
      <c r="H64" s="922">
        <f t="shared" si="84"/>
        <v>12170.206</v>
      </c>
      <c r="I64" s="922">
        <f t="shared" si="84"/>
        <v>0</v>
      </c>
      <c r="J64" s="922">
        <f t="shared" si="84"/>
        <v>0</v>
      </c>
      <c r="K64" s="922">
        <f t="shared" si="84"/>
        <v>0</v>
      </c>
      <c r="L64" s="922">
        <f t="shared" si="84"/>
        <v>0</v>
      </c>
      <c r="M64" s="922">
        <f t="shared" si="84"/>
        <v>0</v>
      </c>
      <c r="N64" s="922">
        <f t="shared" si="84"/>
        <v>0</v>
      </c>
      <c r="O64" s="921">
        <f t="shared" si="74"/>
        <v>41123</v>
      </c>
      <c r="P64" s="921">
        <f t="shared" si="75"/>
        <v>39375.205999999998</v>
      </c>
      <c r="Q64" s="921">
        <f t="shared" si="76"/>
        <v>0</v>
      </c>
      <c r="R64" s="921">
        <f t="shared" si="80"/>
        <v>0</v>
      </c>
      <c r="S64" s="922">
        <f>SUM(C64:N64)</f>
        <v>80498.206000000006</v>
      </c>
      <c r="T64" s="940">
        <f t="shared" si="78"/>
        <v>442.29783516483519</v>
      </c>
    </row>
    <row r="65" spans="1:20" s="908" customFormat="1" ht="16.95" customHeight="1">
      <c r="A65" s="1017" t="s">
        <v>268</v>
      </c>
      <c r="B65" s="941" t="s">
        <v>250</v>
      </c>
      <c r="C65" s="942">
        <f t="shared" ref="C65:N65" si="85">C59-C61</f>
        <v>1785.42</v>
      </c>
      <c r="D65" s="942">
        <f t="shared" si="85"/>
        <v>1647.9300000000003</v>
      </c>
      <c r="E65" s="942">
        <f t="shared" si="85"/>
        <v>1410.33</v>
      </c>
      <c r="F65" s="942">
        <f t="shared" si="85"/>
        <v>1513.42</v>
      </c>
      <c r="G65" s="942">
        <f t="shared" si="85"/>
        <v>1488.38</v>
      </c>
      <c r="H65" s="942">
        <f t="shared" si="85"/>
        <v>1456.3599999999997</v>
      </c>
      <c r="I65" s="942">
        <f t="shared" si="85"/>
        <v>0</v>
      </c>
      <c r="J65" s="942">
        <f t="shared" si="85"/>
        <v>0</v>
      </c>
      <c r="K65" s="942">
        <f t="shared" si="85"/>
        <v>0</v>
      </c>
      <c r="L65" s="942">
        <f t="shared" si="85"/>
        <v>0</v>
      </c>
      <c r="M65" s="942">
        <f t="shared" si="85"/>
        <v>0</v>
      </c>
      <c r="N65" s="942">
        <f t="shared" si="85"/>
        <v>0</v>
      </c>
      <c r="O65" s="942">
        <f>C65+D65+E65</f>
        <v>4843.68</v>
      </c>
      <c r="P65" s="942">
        <f>F65+G65+H65</f>
        <v>4458.16</v>
      </c>
      <c r="Q65" s="942">
        <f>I65+J65+K65</f>
        <v>0</v>
      </c>
      <c r="R65" s="942">
        <f>L65+M65+N65</f>
        <v>0</v>
      </c>
      <c r="S65" s="942">
        <f t="shared" ref="S65:S66" si="86">SUM(C65:N65)</f>
        <v>9301.84</v>
      </c>
      <c r="T65" s="964"/>
    </row>
    <row r="66" spans="1:20" s="908" customFormat="1" ht="16.95" customHeight="1">
      <c r="A66" s="1018"/>
      <c r="B66" s="941" t="s">
        <v>247</v>
      </c>
      <c r="C66" s="942">
        <f t="shared" ref="C66:N66" si="87">C60-C62</f>
        <v>26258</v>
      </c>
      <c r="D66" s="942">
        <f t="shared" si="87"/>
        <v>25630</v>
      </c>
      <c r="E66" s="942">
        <f t="shared" si="87"/>
        <v>22088</v>
      </c>
      <c r="F66" s="942">
        <f t="shared" si="87"/>
        <v>24768</v>
      </c>
      <c r="G66" s="942">
        <f t="shared" si="87"/>
        <v>22501</v>
      </c>
      <c r="H66" s="942">
        <f t="shared" si="87"/>
        <v>21988</v>
      </c>
      <c r="I66" s="942">
        <f t="shared" si="87"/>
        <v>0</v>
      </c>
      <c r="J66" s="942">
        <f t="shared" si="87"/>
        <v>0</v>
      </c>
      <c r="K66" s="942">
        <f t="shared" si="87"/>
        <v>0</v>
      </c>
      <c r="L66" s="942">
        <f t="shared" si="87"/>
        <v>0</v>
      </c>
      <c r="M66" s="942">
        <f t="shared" si="87"/>
        <v>0</v>
      </c>
      <c r="N66" s="942">
        <f t="shared" si="87"/>
        <v>0</v>
      </c>
      <c r="O66" s="943">
        <f>O60-O62</f>
        <v>73976</v>
      </c>
      <c r="P66" s="943">
        <f>P60-P62</f>
        <v>69257</v>
      </c>
      <c r="Q66" s="943">
        <f>Q60-Q62</f>
        <v>0</v>
      </c>
      <c r="R66" s="943">
        <f>R60-R62</f>
        <v>0</v>
      </c>
      <c r="S66" s="942">
        <f t="shared" si="86"/>
        <v>143233</v>
      </c>
      <c r="T66" s="964"/>
    </row>
    <row r="67" spans="1:20" s="908" customFormat="1" ht="16.95" customHeight="1">
      <c r="A67" s="1019"/>
      <c r="B67" s="941" t="s">
        <v>261</v>
      </c>
      <c r="C67" s="965">
        <f t="shared" ref="C67:S67" si="88">IFERROR(C66/C65,0)</f>
        <v>14.706903697729386</v>
      </c>
      <c r="D67" s="965">
        <f t="shared" si="88"/>
        <v>15.552845084439264</v>
      </c>
      <c r="E67" s="965">
        <f t="shared" si="88"/>
        <v>15.661582750136494</v>
      </c>
      <c r="F67" s="965">
        <f t="shared" si="88"/>
        <v>16.365582587781315</v>
      </c>
      <c r="G67" s="965">
        <f t="shared" si="88"/>
        <v>15.117779061798734</v>
      </c>
      <c r="H67" s="965">
        <f t="shared" si="88"/>
        <v>15.097915350600129</v>
      </c>
      <c r="I67" s="965">
        <f t="shared" si="88"/>
        <v>0</v>
      </c>
      <c r="J67" s="965">
        <f t="shared" si="88"/>
        <v>0</v>
      </c>
      <c r="K67" s="965">
        <f t="shared" si="88"/>
        <v>0</v>
      </c>
      <c r="L67" s="965">
        <f t="shared" si="88"/>
        <v>0</v>
      </c>
      <c r="M67" s="965">
        <f t="shared" si="88"/>
        <v>0</v>
      </c>
      <c r="N67" s="965">
        <f t="shared" si="88"/>
        <v>0</v>
      </c>
      <c r="O67" s="965">
        <f t="shared" si="88"/>
        <v>15.272685231063983</v>
      </c>
      <c r="P67" s="965">
        <f t="shared" si="88"/>
        <v>15.53488434690545</v>
      </c>
      <c r="Q67" s="965">
        <f t="shared" si="88"/>
        <v>0</v>
      </c>
      <c r="R67" s="965">
        <f t="shared" si="88"/>
        <v>0</v>
      </c>
      <c r="S67" s="965">
        <f t="shared" si="88"/>
        <v>15.398351293937543</v>
      </c>
      <c r="T67" s="966"/>
    </row>
    <row r="69" spans="1:20" s="902" customFormat="1" ht="21">
      <c r="A69" s="742" t="s">
        <v>19</v>
      </c>
      <c r="B69" s="742" t="s">
        <v>496</v>
      </c>
      <c r="C69" s="900" t="s">
        <v>8</v>
      </c>
      <c r="D69" s="900" t="s">
        <v>78</v>
      </c>
      <c r="E69" s="900" t="s">
        <v>79</v>
      </c>
      <c r="F69" s="900" t="s">
        <v>80</v>
      </c>
      <c r="G69" s="900" t="s">
        <v>81</v>
      </c>
      <c r="H69" s="900" t="s">
        <v>82</v>
      </c>
      <c r="I69" s="900" t="s">
        <v>83</v>
      </c>
      <c r="J69" s="900" t="s">
        <v>84</v>
      </c>
      <c r="K69" s="900" t="s">
        <v>85</v>
      </c>
      <c r="L69" s="900" t="s">
        <v>4</v>
      </c>
      <c r="M69" s="900" t="s">
        <v>5</v>
      </c>
      <c r="N69" s="900" t="s">
        <v>6</v>
      </c>
      <c r="O69" s="901" t="s">
        <v>110</v>
      </c>
      <c r="P69" s="901" t="s">
        <v>111</v>
      </c>
      <c r="Q69" s="901" t="s">
        <v>112</v>
      </c>
      <c r="R69" s="901" t="s">
        <v>113</v>
      </c>
      <c r="S69" s="901" t="s">
        <v>114</v>
      </c>
      <c r="T69" s="901" t="s">
        <v>243</v>
      </c>
    </row>
    <row r="70" spans="1:20">
      <c r="A70" s="1020" t="s">
        <v>273</v>
      </c>
      <c r="B70" s="903" t="s">
        <v>187</v>
      </c>
      <c r="C70" s="904">
        <v>31</v>
      </c>
      <c r="D70" s="904">
        <v>31</v>
      </c>
      <c r="E70" s="904">
        <v>30</v>
      </c>
      <c r="F70" s="904">
        <v>31</v>
      </c>
      <c r="G70" s="904">
        <v>29</v>
      </c>
      <c r="H70" s="904">
        <v>28</v>
      </c>
      <c r="I70" s="904">
        <v>31</v>
      </c>
      <c r="J70" s="904">
        <v>28</v>
      </c>
      <c r="K70" s="904">
        <v>31</v>
      </c>
      <c r="L70" s="904">
        <v>30</v>
      </c>
      <c r="M70" s="904">
        <v>31</v>
      </c>
      <c r="N70" s="904">
        <v>30</v>
      </c>
      <c r="O70" s="905">
        <v>92</v>
      </c>
      <c r="P70" s="905">
        <v>88</v>
      </c>
      <c r="Q70" s="905">
        <v>90</v>
      </c>
      <c r="R70" s="905">
        <v>91</v>
      </c>
      <c r="S70" s="906">
        <v>361</v>
      </c>
      <c r="T70" s="907"/>
    </row>
    <row r="71" spans="1:20" ht="31.2">
      <c r="A71" s="1021"/>
      <c r="B71" s="909" t="s">
        <v>336</v>
      </c>
      <c r="C71" s="910">
        <v>26</v>
      </c>
      <c r="D71" s="910">
        <v>26</v>
      </c>
      <c r="E71" s="910">
        <v>26</v>
      </c>
      <c r="F71" s="910">
        <v>26</v>
      </c>
      <c r="G71" s="910">
        <v>26</v>
      </c>
      <c r="H71" s="910">
        <v>26</v>
      </c>
      <c r="I71" s="910">
        <v>26</v>
      </c>
      <c r="J71" s="910">
        <v>26</v>
      </c>
      <c r="K71" s="910">
        <v>26</v>
      </c>
      <c r="L71" s="910">
        <v>30</v>
      </c>
      <c r="M71" s="910">
        <v>30</v>
      </c>
      <c r="N71" s="910">
        <v>30</v>
      </c>
      <c r="O71" s="911">
        <v>26</v>
      </c>
      <c r="P71" s="911">
        <v>26</v>
      </c>
      <c r="Q71" s="911">
        <v>26</v>
      </c>
      <c r="R71" s="911">
        <v>30</v>
      </c>
      <c r="S71" s="912">
        <v>30</v>
      </c>
      <c r="T71" s="907"/>
    </row>
    <row r="72" spans="1:20" ht="31.2">
      <c r="A72" s="1021" t="s">
        <v>298</v>
      </c>
      <c r="B72" s="909" t="s">
        <v>337</v>
      </c>
      <c r="C72" s="910">
        <v>43</v>
      </c>
      <c r="D72" s="910">
        <v>43</v>
      </c>
      <c r="E72" s="910">
        <v>43</v>
      </c>
      <c r="F72" s="910">
        <v>43</v>
      </c>
      <c r="G72" s="910">
        <v>43</v>
      </c>
      <c r="H72" s="910">
        <v>43</v>
      </c>
      <c r="I72" s="910">
        <v>43</v>
      </c>
      <c r="J72" s="910">
        <v>43</v>
      </c>
      <c r="K72" s="910">
        <v>43</v>
      </c>
      <c r="L72" s="910">
        <v>43</v>
      </c>
      <c r="M72" s="910">
        <v>43</v>
      </c>
      <c r="N72" s="910">
        <v>43</v>
      </c>
      <c r="O72" s="911">
        <v>43</v>
      </c>
      <c r="P72" s="911">
        <v>43</v>
      </c>
      <c r="Q72" s="911">
        <v>43</v>
      </c>
      <c r="R72" s="911">
        <v>43</v>
      </c>
      <c r="S72" s="912">
        <v>43</v>
      </c>
      <c r="T72" s="907"/>
    </row>
    <row r="73" spans="1:20" ht="16.2" thickBot="1">
      <c r="A73" s="1022"/>
      <c r="B73" s="914" t="s">
        <v>244</v>
      </c>
      <c r="C73" s="915">
        <v>30</v>
      </c>
      <c r="D73" s="915">
        <v>28</v>
      </c>
      <c r="E73" s="915">
        <v>28</v>
      </c>
      <c r="F73" s="915">
        <v>28</v>
      </c>
      <c r="G73" s="915">
        <v>28</v>
      </c>
      <c r="H73" s="915">
        <v>28</v>
      </c>
      <c r="I73" s="915">
        <v>28</v>
      </c>
      <c r="J73" s="915">
        <v>28</v>
      </c>
      <c r="K73" s="915">
        <v>28</v>
      </c>
      <c r="L73" s="915">
        <v>34</v>
      </c>
      <c r="M73" s="915">
        <v>34</v>
      </c>
      <c r="N73" s="915">
        <v>34</v>
      </c>
      <c r="O73" s="915">
        <v>30</v>
      </c>
      <c r="P73" s="915">
        <v>28</v>
      </c>
      <c r="Q73" s="915">
        <v>28</v>
      </c>
      <c r="R73" s="915">
        <v>34</v>
      </c>
      <c r="S73" s="916">
        <v>34</v>
      </c>
      <c r="T73" s="917"/>
    </row>
    <row r="74" spans="1:20">
      <c r="A74" s="918" t="s">
        <v>248</v>
      </c>
      <c r="B74" s="919" t="s">
        <v>45</v>
      </c>
      <c r="C74" s="904">
        <v>5681.62</v>
      </c>
      <c r="D74" s="904">
        <v>6263.78</v>
      </c>
      <c r="E74" s="904">
        <v>5629.32</v>
      </c>
      <c r="F74" s="904">
        <v>6602.43</v>
      </c>
      <c r="G74" s="904">
        <v>5864.52</v>
      </c>
      <c r="H74" s="904">
        <v>5317.35</v>
      </c>
      <c r="I74" s="904">
        <v>6404.57</v>
      </c>
      <c r="J74" s="904">
        <v>6102.38</v>
      </c>
      <c r="K74" s="904">
        <v>6518.1</v>
      </c>
      <c r="L74" s="904">
        <v>6518.35</v>
      </c>
      <c r="M74" s="904">
        <v>7088.88</v>
      </c>
      <c r="N74" s="904">
        <v>6457.58</v>
      </c>
      <c r="O74" s="920">
        <v>17574.72</v>
      </c>
      <c r="P74" s="921">
        <v>17784.300000000003</v>
      </c>
      <c r="Q74" s="921">
        <v>19025.050000000003</v>
      </c>
      <c r="R74" s="921">
        <v>20064.809999999998</v>
      </c>
      <c r="S74" s="922">
        <v>74448.88</v>
      </c>
      <c r="T74" s="923"/>
    </row>
    <row r="75" spans="1:20">
      <c r="A75" s="925" t="s">
        <v>245</v>
      </c>
      <c r="B75" s="903" t="s">
        <v>46</v>
      </c>
      <c r="C75" s="904">
        <v>104697</v>
      </c>
      <c r="D75" s="904">
        <v>114179</v>
      </c>
      <c r="E75" s="904">
        <v>100212</v>
      </c>
      <c r="F75" s="904">
        <v>117290</v>
      </c>
      <c r="G75" s="904">
        <v>103335</v>
      </c>
      <c r="H75" s="904">
        <v>89184</v>
      </c>
      <c r="I75" s="904">
        <v>112135</v>
      </c>
      <c r="J75" s="904">
        <v>106226</v>
      </c>
      <c r="K75" s="904">
        <v>114355</v>
      </c>
      <c r="L75" s="904">
        <v>113983</v>
      </c>
      <c r="M75" s="904">
        <v>121761</v>
      </c>
      <c r="N75" s="904">
        <v>110928</v>
      </c>
      <c r="O75" s="920">
        <v>319088</v>
      </c>
      <c r="P75" s="921">
        <v>309809</v>
      </c>
      <c r="Q75" s="921">
        <v>332716</v>
      </c>
      <c r="R75" s="921">
        <v>346672</v>
      </c>
      <c r="S75" s="922">
        <v>1308285</v>
      </c>
      <c r="T75" s="907"/>
    </row>
    <row r="76" spans="1:20">
      <c r="A76" s="925" t="s">
        <v>249</v>
      </c>
      <c r="B76" s="926" t="s">
        <v>109</v>
      </c>
      <c r="C76" s="904">
        <v>4638.63</v>
      </c>
      <c r="D76" s="904">
        <v>5162.2700000000004</v>
      </c>
      <c r="E76" s="904">
        <v>4494.05</v>
      </c>
      <c r="F76" s="904">
        <v>5325.38</v>
      </c>
      <c r="G76" s="904">
        <v>4657.6499999999996</v>
      </c>
      <c r="H76" s="904">
        <v>3960.28</v>
      </c>
      <c r="I76" s="904">
        <v>4932.25</v>
      </c>
      <c r="J76" s="904">
        <v>4829.6000000000004</v>
      </c>
      <c r="K76" s="904">
        <v>5064.12</v>
      </c>
      <c r="L76" s="904">
        <v>5009.05</v>
      </c>
      <c r="M76" s="904">
        <v>5334.77</v>
      </c>
      <c r="N76" s="904">
        <v>4884.5</v>
      </c>
      <c r="O76" s="920">
        <v>14294.95</v>
      </c>
      <c r="P76" s="921">
        <v>13943.31</v>
      </c>
      <c r="Q76" s="921">
        <v>14825.970000000001</v>
      </c>
      <c r="R76" s="921">
        <v>15228.32</v>
      </c>
      <c r="S76" s="922">
        <v>58292.55</v>
      </c>
      <c r="T76" s="907"/>
    </row>
    <row r="77" spans="1:20">
      <c r="A77" s="925" t="s">
        <v>246</v>
      </c>
      <c r="B77" s="926" t="s">
        <v>47</v>
      </c>
      <c r="C77" s="904">
        <v>86396</v>
      </c>
      <c r="D77" s="904">
        <v>95658</v>
      </c>
      <c r="E77" s="904">
        <v>82130</v>
      </c>
      <c r="F77" s="904">
        <v>97221</v>
      </c>
      <c r="G77" s="904">
        <v>84838</v>
      </c>
      <c r="H77" s="904">
        <v>70606</v>
      </c>
      <c r="I77" s="904">
        <v>89866</v>
      </c>
      <c r="J77" s="904">
        <v>86422</v>
      </c>
      <c r="K77" s="904">
        <v>91610</v>
      </c>
      <c r="L77" s="904">
        <v>90628</v>
      </c>
      <c r="M77" s="904">
        <v>95814</v>
      </c>
      <c r="N77" s="904">
        <v>87338</v>
      </c>
      <c r="O77" s="920">
        <v>264184</v>
      </c>
      <c r="P77" s="921">
        <v>252665</v>
      </c>
      <c r="Q77" s="921">
        <v>267898</v>
      </c>
      <c r="R77" s="921">
        <v>273780</v>
      </c>
      <c r="S77" s="922">
        <v>1058527</v>
      </c>
      <c r="T77" s="907"/>
    </row>
    <row r="78" spans="1:20">
      <c r="A78" s="925" t="s">
        <v>251</v>
      </c>
      <c r="B78" s="926" t="s">
        <v>241</v>
      </c>
      <c r="C78" s="904">
        <v>122537</v>
      </c>
      <c r="D78" s="904">
        <v>135316</v>
      </c>
      <c r="E78" s="904">
        <v>117341</v>
      </c>
      <c r="F78" s="904">
        <v>139184</v>
      </c>
      <c r="G78" s="904">
        <v>114551</v>
      </c>
      <c r="H78" s="904">
        <v>93761</v>
      </c>
      <c r="I78" s="904">
        <v>124.32</v>
      </c>
      <c r="J78" s="904">
        <v>120537</v>
      </c>
      <c r="K78" s="904">
        <v>128653</v>
      </c>
      <c r="L78" s="904">
        <v>129797</v>
      </c>
      <c r="M78" s="904">
        <v>139860</v>
      </c>
      <c r="N78" s="904">
        <v>127017</v>
      </c>
      <c r="O78" s="920">
        <v>375194</v>
      </c>
      <c r="P78" s="921">
        <v>347496</v>
      </c>
      <c r="Q78" s="921">
        <v>249314.32</v>
      </c>
      <c r="R78" s="921">
        <v>396674</v>
      </c>
      <c r="S78" s="922">
        <v>1368678.3199999998</v>
      </c>
      <c r="T78" s="907"/>
    </row>
    <row r="79" spans="1:20">
      <c r="A79" s="925" t="s">
        <v>260</v>
      </c>
      <c r="B79" s="903" t="s">
        <v>115</v>
      </c>
      <c r="C79" s="922">
        <v>12130</v>
      </c>
      <c r="D79" s="922">
        <v>13263</v>
      </c>
      <c r="E79" s="922">
        <v>11264</v>
      </c>
      <c r="F79" s="922">
        <v>13360</v>
      </c>
      <c r="G79" s="922">
        <v>11123</v>
      </c>
      <c r="H79" s="922">
        <v>9349</v>
      </c>
      <c r="I79" s="922">
        <v>12017</v>
      </c>
      <c r="J79" s="922">
        <v>11872</v>
      </c>
      <c r="K79" s="922">
        <v>12624</v>
      </c>
      <c r="L79" s="922">
        <v>12573</v>
      </c>
      <c r="M79" s="922">
        <v>13434</v>
      </c>
      <c r="N79" s="922">
        <v>12377</v>
      </c>
      <c r="O79" s="920">
        <v>36657</v>
      </c>
      <c r="P79" s="921">
        <v>33832</v>
      </c>
      <c r="Q79" s="921">
        <v>36513</v>
      </c>
      <c r="R79" s="921">
        <v>38384</v>
      </c>
      <c r="S79" s="922">
        <v>145386</v>
      </c>
      <c r="T79" s="907"/>
    </row>
    <row r="80" spans="1:20" ht="6" customHeight="1">
      <c r="A80" s="927"/>
      <c r="B80" s="928"/>
      <c r="C80" s="928"/>
      <c r="D80" s="928"/>
      <c r="E80" s="928"/>
      <c r="F80" s="928"/>
      <c r="G80" s="928"/>
      <c r="H80" s="928"/>
      <c r="I80" s="928"/>
      <c r="J80" s="928"/>
      <c r="K80" s="928"/>
      <c r="L80" s="928"/>
      <c r="M80" s="928"/>
      <c r="N80" s="928"/>
      <c r="O80" s="929"/>
      <c r="P80" s="929"/>
      <c r="Q80" s="929"/>
      <c r="R80" s="929"/>
      <c r="S80" s="930"/>
      <c r="T80" s="931"/>
    </row>
    <row r="81" spans="1:20">
      <c r="A81" s="1023" t="s">
        <v>329</v>
      </c>
      <c r="B81" s="919" t="s">
        <v>45</v>
      </c>
      <c r="C81" s="904">
        <v>1644</v>
      </c>
      <c r="D81" s="904">
        <v>1670</v>
      </c>
      <c r="E81" s="904">
        <v>1620</v>
      </c>
      <c r="F81" s="904">
        <v>1880</v>
      </c>
      <c r="G81" s="904">
        <v>1707</v>
      </c>
      <c r="H81" s="904">
        <v>1534</v>
      </c>
      <c r="I81" s="904">
        <v>2008</v>
      </c>
      <c r="J81" s="904">
        <v>1897</v>
      </c>
      <c r="K81" s="904">
        <v>2003</v>
      </c>
      <c r="L81" s="904">
        <v>2036</v>
      </c>
      <c r="M81" s="904">
        <v>2275</v>
      </c>
      <c r="N81" s="904">
        <v>2127</v>
      </c>
      <c r="O81" s="920">
        <v>4934</v>
      </c>
      <c r="P81" s="921">
        <v>5121</v>
      </c>
      <c r="Q81" s="921">
        <v>5908</v>
      </c>
      <c r="R81" s="921">
        <v>6438</v>
      </c>
      <c r="S81" s="922">
        <v>22401</v>
      </c>
      <c r="T81" s="923"/>
    </row>
    <row r="82" spans="1:20">
      <c r="A82" s="1024"/>
      <c r="B82" s="903" t="s">
        <v>279</v>
      </c>
      <c r="C82" s="904">
        <v>29916</v>
      </c>
      <c r="D82" s="904">
        <v>30160</v>
      </c>
      <c r="E82" s="904">
        <v>28232</v>
      </c>
      <c r="F82" s="904">
        <v>32795</v>
      </c>
      <c r="G82" s="904">
        <v>29277</v>
      </c>
      <c r="H82" s="904">
        <v>25007</v>
      </c>
      <c r="I82" s="904">
        <v>34282</v>
      </c>
      <c r="J82" s="904">
        <v>32066</v>
      </c>
      <c r="K82" s="904">
        <v>34387</v>
      </c>
      <c r="L82" s="904">
        <v>34725</v>
      </c>
      <c r="M82" s="904">
        <v>37864</v>
      </c>
      <c r="N82" s="904">
        <v>35654</v>
      </c>
      <c r="O82" s="920">
        <v>88308</v>
      </c>
      <c r="P82" s="921">
        <v>87079</v>
      </c>
      <c r="Q82" s="921">
        <v>100735</v>
      </c>
      <c r="R82" s="921">
        <v>108243</v>
      </c>
      <c r="S82" s="922">
        <v>384365</v>
      </c>
      <c r="T82" s="907"/>
    </row>
    <row r="83" spans="1:20">
      <c r="A83" s="1024"/>
      <c r="B83" s="926" t="s">
        <v>109</v>
      </c>
      <c r="C83" s="904">
        <v>1316</v>
      </c>
      <c r="D83" s="904">
        <v>1362</v>
      </c>
      <c r="E83" s="904">
        <v>1260</v>
      </c>
      <c r="F83" s="904">
        <v>1491</v>
      </c>
      <c r="G83" s="904">
        <v>1325</v>
      </c>
      <c r="H83" s="904">
        <v>1111</v>
      </c>
      <c r="I83" s="904">
        <v>1498</v>
      </c>
      <c r="J83" s="904">
        <v>1479</v>
      </c>
      <c r="K83" s="904">
        <v>1520</v>
      </c>
      <c r="L83" s="904">
        <v>1528</v>
      </c>
      <c r="M83" s="904">
        <v>1660</v>
      </c>
      <c r="N83" s="904">
        <v>1579</v>
      </c>
      <c r="O83" s="920">
        <v>3938</v>
      </c>
      <c r="P83" s="921">
        <v>3927</v>
      </c>
      <c r="Q83" s="921">
        <v>4497</v>
      </c>
      <c r="R83" s="921">
        <v>4767</v>
      </c>
      <c r="S83" s="922">
        <v>17129</v>
      </c>
      <c r="T83" s="907"/>
    </row>
    <row r="84" spans="1:20">
      <c r="A84" s="1024"/>
      <c r="B84" s="926" t="s">
        <v>47</v>
      </c>
      <c r="C84" s="904">
        <v>24670</v>
      </c>
      <c r="D84" s="904">
        <v>25428</v>
      </c>
      <c r="E84" s="904">
        <v>23085</v>
      </c>
      <c r="F84" s="904">
        <v>27059</v>
      </c>
      <c r="G84" s="904">
        <v>23970</v>
      </c>
      <c r="H84" s="904">
        <v>19595</v>
      </c>
      <c r="I84" s="904">
        <v>27107</v>
      </c>
      <c r="J84" s="904">
        <v>26139</v>
      </c>
      <c r="K84" s="904">
        <v>27349</v>
      </c>
      <c r="L84" s="904">
        <v>27394</v>
      </c>
      <c r="M84" s="904">
        <v>29396</v>
      </c>
      <c r="N84" s="904">
        <v>27886</v>
      </c>
      <c r="O84" s="920">
        <v>73183</v>
      </c>
      <c r="P84" s="921">
        <v>70624</v>
      </c>
      <c r="Q84" s="921">
        <v>80595</v>
      </c>
      <c r="R84" s="921">
        <v>84676</v>
      </c>
      <c r="S84" s="922">
        <v>309078</v>
      </c>
      <c r="T84" s="907"/>
    </row>
    <row r="85" spans="1:20">
      <c r="A85" s="1024"/>
      <c r="B85" s="926" t="s">
        <v>241</v>
      </c>
      <c r="C85" s="904">
        <v>30092</v>
      </c>
      <c r="D85" s="904">
        <v>32188</v>
      </c>
      <c r="E85" s="904">
        <v>28243</v>
      </c>
      <c r="F85" s="904">
        <v>33564</v>
      </c>
      <c r="G85" s="904">
        <v>27176</v>
      </c>
      <c r="H85" s="904">
        <v>20817</v>
      </c>
      <c r="I85" s="904">
        <v>29621</v>
      </c>
      <c r="J85" s="904">
        <v>29142</v>
      </c>
      <c r="K85" s="904">
        <v>29975</v>
      </c>
      <c r="L85" s="904">
        <v>30795</v>
      </c>
      <c r="M85" s="904">
        <v>34739</v>
      </c>
      <c r="N85" s="904">
        <v>32967</v>
      </c>
      <c r="O85" s="920">
        <v>90523</v>
      </c>
      <c r="P85" s="921">
        <v>81557</v>
      </c>
      <c r="Q85" s="921">
        <v>88738</v>
      </c>
      <c r="R85" s="921">
        <v>98501</v>
      </c>
      <c r="S85" s="922">
        <v>359319</v>
      </c>
      <c r="T85" s="907"/>
    </row>
    <row r="86" spans="1:20">
      <c r="A86" s="1025"/>
      <c r="B86" s="926" t="s">
        <v>115</v>
      </c>
      <c r="C86" s="922">
        <v>3314</v>
      </c>
      <c r="D86" s="922">
        <v>3347</v>
      </c>
      <c r="E86" s="904">
        <v>2944</v>
      </c>
      <c r="F86" s="904">
        <v>3457</v>
      </c>
      <c r="G86" s="904">
        <v>2901</v>
      </c>
      <c r="H86" s="904">
        <v>2366</v>
      </c>
      <c r="I86" s="904">
        <v>3319</v>
      </c>
      <c r="J86" s="904">
        <v>3235</v>
      </c>
      <c r="K86" s="904">
        <v>3486</v>
      </c>
      <c r="L86" s="904">
        <v>3434</v>
      </c>
      <c r="M86" s="904">
        <v>3738</v>
      </c>
      <c r="N86" s="904">
        <v>3642</v>
      </c>
      <c r="O86" s="920">
        <v>9605</v>
      </c>
      <c r="P86" s="921">
        <v>8724</v>
      </c>
      <c r="Q86" s="921">
        <v>10040</v>
      </c>
      <c r="R86" s="921">
        <v>10814</v>
      </c>
      <c r="S86" s="922">
        <v>39183</v>
      </c>
      <c r="T86" s="907"/>
    </row>
    <row r="87" spans="1:20" ht="6" customHeight="1" thickBot="1">
      <c r="A87" s="927"/>
      <c r="B87" s="928"/>
      <c r="C87" s="928"/>
      <c r="D87" s="928"/>
      <c r="E87" s="928"/>
      <c r="F87" s="928"/>
      <c r="G87" s="928"/>
      <c r="H87" s="928"/>
      <c r="I87" s="928"/>
      <c r="J87" s="928"/>
      <c r="K87" s="928"/>
      <c r="L87" s="928"/>
      <c r="M87" s="928"/>
      <c r="N87" s="928"/>
      <c r="O87" s="929"/>
      <c r="P87" s="929"/>
      <c r="Q87" s="929"/>
      <c r="R87" s="929"/>
      <c r="S87" s="930"/>
      <c r="T87" s="931"/>
    </row>
    <row r="88" spans="1:20">
      <c r="A88" s="1026" t="s">
        <v>272</v>
      </c>
      <c r="B88" s="932" t="s">
        <v>187</v>
      </c>
      <c r="C88" s="933">
        <v>22</v>
      </c>
      <c r="D88" s="933">
        <v>23</v>
      </c>
      <c r="E88" s="933">
        <v>20</v>
      </c>
      <c r="F88" s="933">
        <v>23</v>
      </c>
      <c r="G88" s="933">
        <v>21</v>
      </c>
      <c r="H88" s="933">
        <v>19</v>
      </c>
      <c r="I88" s="933">
        <v>23</v>
      </c>
      <c r="J88" s="933">
        <v>20</v>
      </c>
      <c r="K88" s="933">
        <v>21</v>
      </c>
      <c r="L88" s="933">
        <v>22</v>
      </c>
      <c r="M88" s="933">
        <v>23</v>
      </c>
      <c r="N88" s="933">
        <v>20</v>
      </c>
      <c r="O88" s="934">
        <v>65</v>
      </c>
      <c r="P88" s="934">
        <v>63</v>
      </c>
      <c r="Q88" s="934">
        <v>64</v>
      </c>
      <c r="R88" s="934">
        <v>65</v>
      </c>
      <c r="S88" s="935">
        <v>257</v>
      </c>
      <c r="T88" s="907"/>
    </row>
    <row r="89" spans="1:20" ht="16.2" thickBot="1">
      <c r="A89" s="1027"/>
      <c r="B89" s="936" t="s">
        <v>244</v>
      </c>
      <c r="C89" s="937">
        <v>30</v>
      </c>
      <c r="D89" s="937">
        <v>28</v>
      </c>
      <c r="E89" s="937">
        <v>28</v>
      </c>
      <c r="F89" s="937">
        <v>28</v>
      </c>
      <c r="G89" s="937">
        <v>28</v>
      </c>
      <c r="H89" s="937">
        <v>28</v>
      </c>
      <c r="I89" s="937">
        <v>28</v>
      </c>
      <c r="J89" s="937">
        <v>28</v>
      </c>
      <c r="K89" s="937">
        <v>28</v>
      </c>
      <c r="L89" s="937">
        <v>34</v>
      </c>
      <c r="M89" s="937">
        <v>34</v>
      </c>
      <c r="N89" s="937">
        <v>34</v>
      </c>
      <c r="O89" s="915">
        <v>30</v>
      </c>
      <c r="P89" s="915">
        <v>28</v>
      </c>
      <c r="Q89" s="915">
        <v>28</v>
      </c>
      <c r="R89" s="915">
        <v>34</v>
      </c>
      <c r="S89" s="938">
        <v>34</v>
      </c>
      <c r="T89" s="939">
        <v>34</v>
      </c>
    </row>
    <row r="90" spans="1:20">
      <c r="A90" s="918" t="s">
        <v>248</v>
      </c>
      <c r="B90" s="919" t="s">
        <v>45</v>
      </c>
      <c r="C90" s="922">
        <v>5328.62</v>
      </c>
      <c r="D90" s="922">
        <v>5901.78</v>
      </c>
      <c r="E90" s="922">
        <v>5176.32</v>
      </c>
      <c r="F90" s="922">
        <v>6220.43</v>
      </c>
      <c r="G90" s="922">
        <v>5498.52</v>
      </c>
      <c r="H90" s="922">
        <v>4855.3500000000004</v>
      </c>
      <c r="I90" s="922">
        <v>5978.57</v>
      </c>
      <c r="J90" s="922">
        <v>5658.38</v>
      </c>
      <c r="K90" s="922">
        <v>5995.1</v>
      </c>
      <c r="L90" s="922">
        <v>6114.35</v>
      </c>
      <c r="M90" s="922">
        <v>6623.88</v>
      </c>
      <c r="N90" s="922">
        <v>5881.58</v>
      </c>
      <c r="O90" s="921">
        <v>16406.72</v>
      </c>
      <c r="P90" s="921">
        <v>16574.300000000003</v>
      </c>
      <c r="Q90" s="921">
        <v>17632.050000000003</v>
      </c>
      <c r="R90" s="920">
        <v>18619.809999999998</v>
      </c>
      <c r="S90" s="904">
        <v>69232.87999999999</v>
      </c>
      <c r="T90" s="940">
        <v>269.38863813229568</v>
      </c>
    </row>
    <row r="91" spans="1:20">
      <c r="A91" s="925" t="s">
        <v>245</v>
      </c>
      <c r="B91" s="903" t="s">
        <v>46</v>
      </c>
      <c r="C91" s="922">
        <v>98897</v>
      </c>
      <c r="D91" s="922">
        <v>108274</v>
      </c>
      <c r="E91" s="922">
        <v>93316</v>
      </c>
      <c r="F91" s="922">
        <v>111535</v>
      </c>
      <c r="G91" s="922">
        <v>97554</v>
      </c>
      <c r="H91" s="922">
        <v>82042</v>
      </c>
      <c r="I91" s="922">
        <v>105566</v>
      </c>
      <c r="J91" s="922">
        <v>99786</v>
      </c>
      <c r="K91" s="922">
        <v>105992</v>
      </c>
      <c r="L91" s="922">
        <v>107763</v>
      </c>
      <c r="M91" s="922">
        <v>114632</v>
      </c>
      <c r="N91" s="922">
        <v>101596</v>
      </c>
      <c r="O91" s="921">
        <v>300487</v>
      </c>
      <c r="P91" s="921">
        <v>291131</v>
      </c>
      <c r="Q91" s="921">
        <v>311344</v>
      </c>
      <c r="R91" s="920">
        <v>323991</v>
      </c>
      <c r="S91" s="904">
        <v>1226953</v>
      </c>
      <c r="T91" s="940">
        <v>4774.1361867704281</v>
      </c>
    </row>
    <row r="92" spans="1:20">
      <c r="A92" s="925" t="s">
        <v>249</v>
      </c>
      <c r="B92" s="926" t="s">
        <v>109</v>
      </c>
      <c r="C92" s="922">
        <v>4379.63</v>
      </c>
      <c r="D92" s="922">
        <v>4901.2700000000004</v>
      </c>
      <c r="E92" s="922">
        <v>4207.05</v>
      </c>
      <c r="F92" s="922">
        <v>5081.38</v>
      </c>
      <c r="G92" s="922">
        <v>4415.6499999999996</v>
      </c>
      <c r="H92" s="922">
        <v>3659.28</v>
      </c>
      <c r="I92" s="922">
        <v>4667.25</v>
      </c>
      <c r="J92" s="922">
        <v>4544.6000000000004</v>
      </c>
      <c r="K92" s="922">
        <v>4707.12</v>
      </c>
      <c r="L92" s="922">
        <v>4756.05</v>
      </c>
      <c r="M92" s="922">
        <v>5040.7700000000004</v>
      </c>
      <c r="N92" s="922">
        <v>4489.5</v>
      </c>
      <c r="O92" s="921">
        <v>13487.95</v>
      </c>
      <c r="P92" s="921">
        <v>13156.31</v>
      </c>
      <c r="Q92" s="921">
        <v>13918.970000000001</v>
      </c>
      <c r="R92" s="920">
        <v>14286.32</v>
      </c>
      <c r="S92" s="904">
        <v>54849.55</v>
      </c>
      <c r="T92" s="940">
        <v>213.42237354085603</v>
      </c>
    </row>
    <row r="93" spans="1:20">
      <c r="A93" s="925" t="s">
        <v>246</v>
      </c>
      <c r="B93" s="926" t="s">
        <v>47</v>
      </c>
      <c r="C93" s="922">
        <v>81899</v>
      </c>
      <c r="D93" s="922">
        <v>91031</v>
      </c>
      <c r="E93" s="922">
        <v>77196</v>
      </c>
      <c r="F93" s="922">
        <v>93111</v>
      </c>
      <c r="G93" s="922">
        <v>80702</v>
      </c>
      <c r="H93" s="922">
        <v>65438</v>
      </c>
      <c r="I93" s="922">
        <v>85236</v>
      </c>
      <c r="J93" s="922">
        <v>81860</v>
      </c>
      <c r="K93" s="922">
        <v>85616</v>
      </c>
      <c r="L93" s="922">
        <v>86362</v>
      </c>
      <c r="M93" s="922">
        <v>90687</v>
      </c>
      <c r="N93" s="922">
        <v>80516</v>
      </c>
      <c r="O93" s="921">
        <v>250126</v>
      </c>
      <c r="P93" s="921">
        <v>239251</v>
      </c>
      <c r="Q93" s="921">
        <v>252712</v>
      </c>
      <c r="R93" s="920">
        <v>257565</v>
      </c>
      <c r="S93" s="904">
        <v>999654</v>
      </c>
      <c r="T93" s="940">
        <v>3889.7042801556422</v>
      </c>
    </row>
    <row r="94" spans="1:20">
      <c r="A94" s="925" t="s">
        <v>251</v>
      </c>
      <c r="B94" s="926" t="s">
        <v>241</v>
      </c>
      <c r="C94" s="922">
        <v>117261</v>
      </c>
      <c r="D94" s="922">
        <v>130671</v>
      </c>
      <c r="E94" s="922">
        <v>111938</v>
      </c>
      <c r="F94" s="922">
        <v>134144</v>
      </c>
      <c r="G94" s="922">
        <v>109918</v>
      </c>
      <c r="H94" s="922">
        <v>88258</v>
      </c>
      <c r="I94" s="922">
        <v>-5594.68</v>
      </c>
      <c r="J94" s="922">
        <v>115071</v>
      </c>
      <c r="K94" s="922">
        <v>121142</v>
      </c>
      <c r="L94" s="922">
        <v>124380</v>
      </c>
      <c r="M94" s="922">
        <v>133664</v>
      </c>
      <c r="N94" s="922">
        <v>118445</v>
      </c>
      <c r="O94" s="921">
        <v>359870</v>
      </c>
      <c r="P94" s="921">
        <v>332320</v>
      </c>
      <c r="Q94" s="921">
        <v>230618.32</v>
      </c>
      <c r="R94" s="920">
        <v>376489</v>
      </c>
      <c r="S94" s="904">
        <v>1299297.3199999998</v>
      </c>
      <c r="T94" s="940">
        <v>5055.6315953307385</v>
      </c>
    </row>
    <row r="95" spans="1:20">
      <c r="A95" s="925" t="s">
        <v>260</v>
      </c>
      <c r="B95" s="903" t="s">
        <v>115</v>
      </c>
      <c r="C95" s="922">
        <v>11483</v>
      </c>
      <c r="D95" s="922">
        <v>12681</v>
      </c>
      <c r="E95" s="922">
        <v>10616</v>
      </c>
      <c r="F95" s="922">
        <v>12766</v>
      </c>
      <c r="G95" s="922">
        <v>10586</v>
      </c>
      <c r="H95" s="922">
        <v>8687</v>
      </c>
      <c r="I95" s="922">
        <v>11308</v>
      </c>
      <c r="J95" s="922">
        <v>11190</v>
      </c>
      <c r="K95" s="922">
        <v>11735</v>
      </c>
      <c r="L95" s="922">
        <v>11948</v>
      </c>
      <c r="M95" s="922">
        <v>12699</v>
      </c>
      <c r="N95" s="922">
        <v>11395</v>
      </c>
      <c r="O95" s="921">
        <v>34780</v>
      </c>
      <c r="P95" s="921">
        <v>32039</v>
      </c>
      <c r="Q95" s="921">
        <v>34233</v>
      </c>
      <c r="R95" s="920">
        <v>36042</v>
      </c>
      <c r="S95" s="904">
        <v>137094</v>
      </c>
      <c r="T95" s="940">
        <v>533.43968871595325</v>
      </c>
    </row>
    <row r="96" spans="1:20">
      <c r="A96" s="1017" t="s">
        <v>268</v>
      </c>
      <c r="B96" s="941" t="s">
        <v>250</v>
      </c>
      <c r="C96" s="942">
        <v>948.98999999999978</v>
      </c>
      <c r="D96" s="942">
        <v>1000.5099999999993</v>
      </c>
      <c r="E96" s="942">
        <v>969.26999999999953</v>
      </c>
      <c r="F96" s="942">
        <v>1139.0500000000002</v>
      </c>
      <c r="G96" s="942">
        <v>1082.8700000000008</v>
      </c>
      <c r="H96" s="942">
        <v>1196.0700000000002</v>
      </c>
      <c r="I96" s="942">
        <v>1311.3199999999997</v>
      </c>
      <c r="J96" s="942">
        <v>1113.7799999999997</v>
      </c>
      <c r="K96" s="942">
        <v>1287.9800000000005</v>
      </c>
      <c r="L96" s="942">
        <v>1358.3000000000002</v>
      </c>
      <c r="M96" s="942">
        <v>1583.1099999999997</v>
      </c>
      <c r="N96" s="942">
        <v>1392.08</v>
      </c>
      <c r="O96" s="942">
        <v>2918.7699999999986</v>
      </c>
      <c r="P96" s="942">
        <v>3417.9900000000011</v>
      </c>
      <c r="Q96" s="942">
        <v>3713.08</v>
      </c>
      <c r="R96" s="943">
        <v>4333.49</v>
      </c>
      <c r="S96" s="943">
        <v>14383.33</v>
      </c>
      <c r="T96" s="944"/>
    </row>
    <row r="97" spans="1:20">
      <c r="A97" s="1018"/>
      <c r="B97" s="941" t="s">
        <v>247</v>
      </c>
      <c r="C97" s="942">
        <v>16998</v>
      </c>
      <c r="D97" s="942">
        <v>17243</v>
      </c>
      <c r="E97" s="942">
        <v>16120</v>
      </c>
      <c r="F97" s="942">
        <v>18424</v>
      </c>
      <c r="G97" s="942">
        <v>16852</v>
      </c>
      <c r="H97" s="942">
        <v>16604</v>
      </c>
      <c r="I97" s="942">
        <v>20330</v>
      </c>
      <c r="J97" s="942">
        <v>17926</v>
      </c>
      <c r="K97" s="942">
        <v>20376</v>
      </c>
      <c r="L97" s="942">
        <v>21401</v>
      </c>
      <c r="M97" s="942">
        <v>23945</v>
      </c>
      <c r="N97" s="942">
        <v>21080</v>
      </c>
      <c r="O97" s="942">
        <v>50361</v>
      </c>
      <c r="P97" s="942">
        <v>51880</v>
      </c>
      <c r="Q97" s="942">
        <v>58632</v>
      </c>
      <c r="R97" s="943">
        <v>66426</v>
      </c>
      <c r="S97" s="943">
        <v>227299</v>
      </c>
      <c r="T97" s="944"/>
    </row>
    <row r="98" spans="1:20">
      <c r="A98" s="1019"/>
      <c r="B98" s="941" t="s">
        <v>261</v>
      </c>
      <c r="C98" s="946">
        <v>17.911674517118204</v>
      </c>
      <c r="D98" s="946">
        <v>17.234210552618176</v>
      </c>
      <c r="E98" s="946">
        <v>16.63107286927276</v>
      </c>
      <c r="F98" s="946">
        <v>16.174882577586583</v>
      </c>
      <c r="G98" s="946">
        <v>15.562348204308908</v>
      </c>
      <c r="H98" s="946">
        <v>13.882130644527493</v>
      </c>
      <c r="I98" s="946">
        <v>15.503462160265995</v>
      </c>
      <c r="J98" s="946">
        <v>16.094740433478787</v>
      </c>
      <c r="K98" s="946">
        <v>15.820121430456989</v>
      </c>
      <c r="L98" s="946">
        <v>15.755724066848265</v>
      </c>
      <c r="M98" s="946">
        <v>15.125291356886132</v>
      </c>
      <c r="N98" s="946">
        <v>15.142807884604334</v>
      </c>
      <c r="O98" s="946">
        <v>17.254185838555291</v>
      </c>
      <c r="P98" s="946">
        <v>0</v>
      </c>
      <c r="Q98" s="946">
        <v>15.790664354121107</v>
      </c>
      <c r="R98" s="946">
        <v>15.328522738024088</v>
      </c>
      <c r="S98" s="946">
        <v>15.43144416684771</v>
      </c>
      <c r="T98" s="947"/>
    </row>
    <row r="99" spans="1:20" ht="6" customHeight="1" thickBot="1">
      <c r="A99" s="927"/>
      <c r="B99" s="928"/>
      <c r="C99" s="928"/>
      <c r="D99" s="928"/>
      <c r="E99" s="928"/>
      <c r="F99" s="928"/>
      <c r="G99" s="928"/>
      <c r="H99" s="928"/>
      <c r="I99" s="928"/>
      <c r="J99" s="928"/>
      <c r="K99" s="928"/>
      <c r="L99" s="928"/>
      <c r="M99" s="928"/>
      <c r="N99" s="928"/>
      <c r="O99" s="929"/>
      <c r="P99" s="929"/>
      <c r="Q99" s="929"/>
      <c r="R99" s="929"/>
      <c r="S99" s="930"/>
      <c r="T99" s="931"/>
    </row>
    <row r="100" spans="1:20">
      <c r="A100" s="953" t="s">
        <v>227</v>
      </c>
      <c r="B100" s="932" t="s">
        <v>187</v>
      </c>
      <c r="C100" s="954">
        <v>4</v>
      </c>
      <c r="D100" s="954">
        <v>4</v>
      </c>
      <c r="E100" s="954">
        <v>5</v>
      </c>
      <c r="F100" s="954">
        <v>4</v>
      </c>
      <c r="G100" s="954">
        <v>4</v>
      </c>
      <c r="H100" s="954">
        <v>5</v>
      </c>
      <c r="I100" s="954">
        <v>4</v>
      </c>
      <c r="J100" s="954">
        <v>4</v>
      </c>
      <c r="K100" s="954">
        <v>5</v>
      </c>
      <c r="L100" s="954">
        <v>4</v>
      </c>
      <c r="M100" s="954">
        <v>4</v>
      </c>
      <c r="N100" s="954">
        <v>5</v>
      </c>
      <c r="O100" s="934">
        <v>13</v>
      </c>
      <c r="P100" s="934">
        <v>13</v>
      </c>
      <c r="Q100" s="934">
        <v>13</v>
      </c>
      <c r="R100" s="934">
        <v>13</v>
      </c>
      <c r="S100" s="955">
        <v>52</v>
      </c>
      <c r="T100" s="907"/>
    </row>
    <row r="101" spans="1:20" ht="16.2" thickBot="1">
      <c r="A101" s="956" t="s">
        <v>298</v>
      </c>
      <c r="B101" s="936" t="s">
        <v>244</v>
      </c>
      <c r="C101" s="915">
        <v>11</v>
      </c>
      <c r="D101" s="915">
        <v>9</v>
      </c>
      <c r="E101" s="915">
        <v>9</v>
      </c>
      <c r="F101" s="915">
        <v>9</v>
      </c>
      <c r="G101" s="915">
        <v>9</v>
      </c>
      <c r="H101" s="915">
        <v>9</v>
      </c>
      <c r="I101" s="915">
        <v>9</v>
      </c>
      <c r="J101" s="915">
        <v>9</v>
      </c>
      <c r="K101" s="915">
        <v>9</v>
      </c>
      <c r="L101" s="915">
        <v>11</v>
      </c>
      <c r="M101" s="915">
        <v>11</v>
      </c>
      <c r="N101" s="915">
        <v>11</v>
      </c>
      <c r="O101" s="915">
        <v>11</v>
      </c>
      <c r="P101" s="915">
        <v>9</v>
      </c>
      <c r="Q101" s="915">
        <v>9</v>
      </c>
      <c r="R101" s="915">
        <v>11</v>
      </c>
      <c r="S101" s="938">
        <v>11</v>
      </c>
      <c r="T101" s="939">
        <v>11</v>
      </c>
    </row>
    <row r="102" spans="1:20">
      <c r="A102" s="918" t="s">
        <v>248</v>
      </c>
      <c r="B102" s="919" t="s">
        <v>45</v>
      </c>
      <c r="C102" s="904">
        <v>304</v>
      </c>
      <c r="D102" s="904">
        <v>325</v>
      </c>
      <c r="E102" s="904">
        <v>410</v>
      </c>
      <c r="F102" s="904">
        <v>338</v>
      </c>
      <c r="G102" s="904">
        <v>328</v>
      </c>
      <c r="H102" s="904">
        <v>417</v>
      </c>
      <c r="I102" s="904">
        <v>370</v>
      </c>
      <c r="J102" s="904">
        <v>369</v>
      </c>
      <c r="K102" s="904">
        <v>439</v>
      </c>
      <c r="L102" s="904">
        <v>340</v>
      </c>
      <c r="M102" s="904">
        <v>382</v>
      </c>
      <c r="N102" s="904">
        <v>465</v>
      </c>
      <c r="O102" s="920">
        <v>1039</v>
      </c>
      <c r="P102" s="921">
        <v>1083</v>
      </c>
      <c r="Q102" s="921">
        <v>1178</v>
      </c>
      <c r="R102" s="920">
        <v>1187</v>
      </c>
      <c r="S102" s="904">
        <v>4487</v>
      </c>
      <c r="T102" s="940">
        <v>86.288461538461533</v>
      </c>
    </row>
    <row r="103" spans="1:20">
      <c r="A103" s="925" t="s">
        <v>245</v>
      </c>
      <c r="B103" s="903" t="s">
        <v>46</v>
      </c>
      <c r="C103" s="904">
        <v>5076</v>
      </c>
      <c r="D103" s="904">
        <v>5421</v>
      </c>
      <c r="E103" s="904">
        <v>6398</v>
      </c>
      <c r="F103" s="904">
        <v>5192</v>
      </c>
      <c r="G103" s="904">
        <v>5230</v>
      </c>
      <c r="H103" s="904">
        <v>6559</v>
      </c>
      <c r="I103" s="904">
        <v>5882</v>
      </c>
      <c r="J103" s="904">
        <v>5610</v>
      </c>
      <c r="K103" s="904">
        <v>7051</v>
      </c>
      <c r="L103" s="904">
        <v>5297</v>
      </c>
      <c r="M103" s="904">
        <v>5959</v>
      </c>
      <c r="N103" s="904">
        <v>7777</v>
      </c>
      <c r="O103" s="920">
        <v>16895</v>
      </c>
      <c r="P103" s="921">
        <v>16981</v>
      </c>
      <c r="Q103" s="921">
        <v>18543</v>
      </c>
      <c r="R103" s="920">
        <v>19033</v>
      </c>
      <c r="S103" s="904">
        <v>71452</v>
      </c>
      <c r="T103" s="940">
        <v>1374.0769230769231</v>
      </c>
    </row>
    <row r="104" spans="1:20">
      <c r="A104" s="925" t="s">
        <v>249</v>
      </c>
      <c r="B104" s="926" t="s">
        <v>109</v>
      </c>
      <c r="C104" s="904">
        <v>229</v>
      </c>
      <c r="D104" s="904">
        <v>240</v>
      </c>
      <c r="E104" s="904">
        <v>269</v>
      </c>
      <c r="F104" s="904">
        <v>224</v>
      </c>
      <c r="G104" s="904">
        <v>222</v>
      </c>
      <c r="H104" s="904">
        <v>281</v>
      </c>
      <c r="I104" s="904">
        <v>242</v>
      </c>
      <c r="J104" s="904">
        <v>257</v>
      </c>
      <c r="K104" s="904">
        <v>305</v>
      </c>
      <c r="L104" s="904">
        <v>220</v>
      </c>
      <c r="M104" s="904">
        <v>248</v>
      </c>
      <c r="N104" s="904">
        <v>341</v>
      </c>
      <c r="O104" s="920">
        <v>738</v>
      </c>
      <c r="P104" s="921">
        <v>727</v>
      </c>
      <c r="Q104" s="921">
        <v>804</v>
      </c>
      <c r="R104" s="920">
        <v>809</v>
      </c>
      <c r="S104" s="904">
        <v>3078</v>
      </c>
      <c r="T104" s="940">
        <v>59.192307692307693</v>
      </c>
    </row>
    <row r="105" spans="1:20">
      <c r="A105" s="925" t="s">
        <v>246</v>
      </c>
      <c r="B105" s="926" t="s">
        <v>47</v>
      </c>
      <c r="C105" s="904">
        <v>3966</v>
      </c>
      <c r="D105" s="904">
        <v>4272</v>
      </c>
      <c r="E105" s="904">
        <v>4629</v>
      </c>
      <c r="F105" s="904">
        <v>3761</v>
      </c>
      <c r="G105" s="904">
        <v>3830</v>
      </c>
      <c r="H105" s="904">
        <v>4826</v>
      </c>
      <c r="I105" s="904">
        <v>4196</v>
      </c>
      <c r="J105" s="904">
        <v>4119</v>
      </c>
      <c r="K105" s="904">
        <v>5071</v>
      </c>
      <c r="L105" s="904">
        <v>3750</v>
      </c>
      <c r="M105" s="904">
        <v>4319</v>
      </c>
      <c r="N105" s="904">
        <v>5859</v>
      </c>
      <c r="O105" s="920">
        <v>12867</v>
      </c>
      <c r="P105" s="921">
        <v>12417</v>
      </c>
      <c r="Q105" s="921">
        <v>13386</v>
      </c>
      <c r="R105" s="920">
        <v>13928</v>
      </c>
      <c r="S105" s="904">
        <v>52598</v>
      </c>
      <c r="T105" s="940">
        <v>1011.5</v>
      </c>
    </row>
    <row r="106" spans="1:20">
      <c r="A106" s="925" t="s">
        <v>251</v>
      </c>
      <c r="B106" s="926" t="s">
        <v>241</v>
      </c>
      <c r="C106" s="904">
        <v>4769</v>
      </c>
      <c r="D106" s="904">
        <v>4410</v>
      </c>
      <c r="E106" s="904">
        <v>5049</v>
      </c>
      <c r="F106" s="904">
        <v>4753</v>
      </c>
      <c r="G106" s="904">
        <v>4398</v>
      </c>
      <c r="H106" s="904">
        <v>5246</v>
      </c>
      <c r="I106" s="904">
        <v>5343</v>
      </c>
      <c r="J106" s="904">
        <v>5102</v>
      </c>
      <c r="K106" s="904">
        <v>6728</v>
      </c>
      <c r="L106" s="904">
        <v>4974</v>
      </c>
      <c r="M106" s="904">
        <v>5361</v>
      </c>
      <c r="N106" s="904">
        <v>7690</v>
      </c>
      <c r="O106" s="920">
        <v>14228</v>
      </c>
      <c r="P106" s="921">
        <v>14397</v>
      </c>
      <c r="Q106" s="921">
        <v>17173</v>
      </c>
      <c r="R106" s="920">
        <v>18025</v>
      </c>
      <c r="S106" s="904">
        <v>63823</v>
      </c>
      <c r="T106" s="940">
        <v>1227.3653846153845</v>
      </c>
    </row>
    <row r="107" spans="1:20">
      <c r="A107" s="925" t="s">
        <v>260</v>
      </c>
      <c r="B107" s="903" t="s">
        <v>115</v>
      </c>
      <c r="C107" s="904">
        <v>578</v>
      </c>
      <c r="D107" s="904">
        <v>543</v>
      </c>
      <c r="E107" s="904">
        <v>610</v>
      </c>
      <c r="F107" s="904">
        <v>550</v>
      </c>
      <c r="G107" s="904">
        <v>499</v>
      </c>
      <c r="H107" s="904">
        <v>622</v>
      </c>
      <c r="I107" s="904">
        <v>642</v>
      </c>
      <c r="J107" s="904">
        <v>615</v>
      </c>
      <c r="K107" s="904">
        <v>778</v>
      </c>
      <c r="L107" s="904">
        <v>560</v>
      </c>
      <c r="M107" s="904">
        <v>617</v>
      </c>
      <c r="N107" s="904">
        <v>840</v>
      </c>
      <c r="O107" s="920">
        <v>1731</v>
      </c>
      <c r="P107" s="921">
        <v>1671</v>
      </c>
      <c r="Q107" s="921">
        <v>2035</v>
      </c>
      <c r="R107" s="920">
        <v>2017</v>
      </c>
      <c r="S107" s="904">
        <v>7454</v>
      </c>
      <c r="T107" s="940">
        <v>143.34615384615384</v>
      </c>
    </row>
    <row r="108" spans="1:20">
      <c r="A108" s="1017" t="s">
        <v>268</v>
      </c>
      <c r="B108" s="941" t="s">
        <v>250</v>
      </c>
      <c r="C108" s="942">
        <v>75</v>
      </c>
      <c r="D108" s="942">
        <v>85</v>
      </c>
      <c r="E108" s="942">
        <v>141</v>
      </c>
      <c r="F108" s="942">
        <v>114</v>
      </c>
      <c r="G108" s="942">
        <v>106</v>
      </c>
      <c r="H108" s="942">
        <v>136</v>
      </c>
      <c r="I108" s="942">
        <v>128</v>
      </c>
      <c r="J108" s="942">
        <v>112</v>
      </c>
      <c r="K108" s="942">
        <v>134</v>
      </c>
      <c r="L108" s="942">
        <v>120</v>
      </c>
      <c r="M108" s="942">
        <v>134</v>
      </c>
      <c r="N108" s="942">
        <v>124</v>
      </c>
      <c r="O108" s="942">
        <v>301</v>
      </c>
      <c r="P108" s="942">
        <v>356</v>
      </c>
      <c r="Q108" s="942">
        <v>374</v>
      </c>
      <c r="R108" s="942">
        <v>378</v>
      </c>
      <c r="S108" s="942">
        <v>1409</v>
      </c>
      <c r="T108" s="957"/>
    </row>
    <row r="109" spans="1:20">
      <c r="A109" s="1018"/>
      <c r="B109" s="941" t="s">
        <v>247</v>
      </c>
      <c r="C109" s="943">
        <v>1110</v>
      </c>
      <c r="D109" s="943">
        <v>1149</v>
      </c>
      <c r="E109" s="943">
        <v>1769</v>
      </c>
      <c r="F109" s="943">
        <v>1431</v>
      </c>
      <c r="G109" s="943">
        <v>1400</v>
      </c>
      <c r="H109" s="943">
        <v>1733</v>
      </c>
      <c r="I109" s="943">
        <v>1686</v>
      </c>
      <c r="J109" s="943">
        <v>1491</v>
      </c>
      <c r="K109" s="943">
        <v>1980</v>
      </c>
      <c r="L109" s="943">
        <v>1547</v>
      </c>
      <c r="M109" s="943">
        <v>1640</v>
      </c>
      <c r="N109" s="943">
        <v>1918</v>
      </c>
      <c r="O109" s="943">
        <v>4028</v>
      </c>
      <c r="P109" s="943">
        <v>4564</v>
      </c>
      <c r="Q109" s="943">
        <v>5157</v>
      </c>
      <c r="R109" s="943">
        <v>5105</v>
      </c>
      <c r="S109" s="942">
        <v>18854</v>
      </c>
      <c r="T109" s="957"/>
    </row>
    <row r="110" spans="1:20">
      <c r="A110" s="1019"/>
      <c r="B110" s="941" t="s">
        <v>261</v>
      </c>
      <c r="C110" s="946">
        <v>14.8</v>
      </c>
      <c r="D110" s="946">
        <v>13.517647058823529</v>
      </c>
      <c r="E110" s="946">
        <v>12.546099290780141</v>
      </c>
      <c r="F110" s="946">
        <v>12.552631578947368</v>
      </c>
      <c r="G110" s="946">
        <v>13.20754716981132</v>
      </c>
      <c r="H110" s="946">
        <v>12.742647058823529</v>
      </c>
      <c r="I110" s="946">
        <v>13.171875</v>
      </c>
      <c r="J110" s="946">
        <v>13.3125</v>
      </c>
      <c r="K110" s="946">
        <v>14.776119402985074</v>
      </c>
      <c r="L110" s="946">
        <v>12.891666666666667</v>
      </c>
      <c r="M110" s="946">
        <v>12.238805970149254</v>
      </c>
      <c r="N110" s="946">
        <v>15.46774193548387</v>
      </c>
      <c r="O110" s="946">
        <v>13.382059800664452</v>
      </c>
      <c r="P110" s="946">
        <v>12.820224719101123</v>
      </c>
      <c r="Q110" s="946">
        <v>13.788770053475936</v>
      </c>
      <c r="R110" s="946">
        <v>13.505291005291005</v>
      </c>
      <c r="S110" s="946">
        <v>14.326747720364741</v>
      </c>
      <c r="T110" s="957"/>
    </row>
    <row r="111" spans="1:20" ht="6" customHeight="1" thickBot="1">
      <c r="A111" s="927"/>
      <c r="B111" s="928"/>
      <c r="C111" s="928"/>
      <c r="D111" s="928"/>
      <c r="E111" s="928"/>
      <c r="F111" s="928"/>
      <c r="G111" s="928"/>
      <c r="H111" s="928"/>
      <c r="I111" s="928"/>
      <c r="J111" s="928"/>
      <c r="K111" s="928"/>
      <c r="L111" s="928"/>
      <c r="M111" s="928"/>
      <c r="N111" s="928"/>
      <c r="O111" s="929"/>
      <c r="P111" s="929"/>
      <c r="Q111" s="929"/>
      <c r="R111" s="929"/>
      <c r="S111" s="930"/>
      <c r="T111" s="931"/>
    </row>
    <row r="112" spans="1:20">
      <c r="A112" s="959" t="s">
        <v>323</v>
      </c>
      <c r="B112" s="932" t="s">
        <v>187</v>
      </c>
      <c r="C112" s="954">
        <v>5</v>
      </c>
      <c r="D112" s="954">
        <v>4</v>
      </c>
      <c r="E112" s="954">
        <v>5</v>
      </c>
      <c r="F112" s="954">
        <v>4</v>
      </c>
      <c r="G112" s="954">
        <v>4</v>
      </c>
      <c r="H112" s="954">
        <v>4</v>
      </c>
      <c r="I112" s="954">
        <v>4</v>
      </c>
      <c r="J112" s="954">
        <v>4</v>
      </c>
      <c r="K112" s="954">
        <v>5</v>
      </c>
      <c r="L112" s="954">
        <v>4</v>
      </c>
      <c r="M112" s="954">
        <v>4</v>
      </c>
      <c r="N112" s="954">
        <v>5</v>
      </c>
      <c r="O112" s="934">
        <v>14</v>
      </c>
      <c r="P112" s="934">
        <v>12</v>
      </c>
      <c r="Q112" s="934">
        <v>13</v>
      </c>
      <c r="R112" s="934">
        <v>13</v>
      </c>
      <c r="S112" s="935">
        <v>52</v>
      </c>
      <c r="T112" s="907"/>
    </row>
    <row r="113" spans="1:20" ht="16.2" thickBot="1">
      <c r="A113" s="960" t="s">
        <v>298</v>
      </c>
      <c r="B113" s="936" t="s">
        <v>244</v>
      </c>
      <c r="C113" s="915">
        <v>2</v>
      </c>
      <c r="D113" s="915">
        <v>2</v>
      </c>
      <c r="E113" s="915">
        <v>2</v>
      </c>
      <c r="F113" s="915">
        <v>2</v>
      </c>
      <c r="G113" s="915">
        <v>2</v>
      </c>
      <c r="H113" s="915">
        <v>2</v>
      </c>
      <c r="I113" s="915">
        <v>2</v>
      </c>
      <c r="J113" s="915">
        <v>2</v>
      </c>
      <c r="K113" s="915">
        <v>2</v>
      </c>
      <c r="L113" s="915">
        <v>2</v>
      </c>
      <c r="M113" s="915">
        <v>2</v>
      </c>
      <c r="N113" s="915">
        <v>2</v>
      </c>
      <c r="O113" s="915">
        <v>2</v>
      </c>
      <c r="P113" s="915">
        <v>2</v>
      </c>
      <c r="Q113" s="915">
        <v>2</v>
      </c>
      <c r="R113" s="915">
        <v>2</v>
      </c>
      <c r="S113" s="938">
        <v>2</v>
      </c>
      <c r="T113" s="939">
        <v>2</v>
      </c>
    </row>
    <row r="114" spans="1:20">
      <c r="A114" s="918" t="s">
        <v>248</v>
      </c>
      <c r="B114" s="919" t="s">
        <v>45</v>
      </c>
      <c r="C114" s="904">
        <v>49</v>
      </c>
      <c r="D114" s="904">
        <v>37</v>
      </c>
      <c r="E114" s="904">
        <v>43</v>
      </c>
      <c r="F114" s="904">
        <v>44</v>
      </c>
      <c r="G114" s="904">
        <v>38</v>
      </c>
      <c r="H114" s="904">
        <v>45</v>
      </c>
      <c r="I114" s="904">
        <v>56</v>
      </c>
      <c r="J114" s="904">
        <v>75</v>
      </c>
      <c r="K114" s="904">
        <v>84</v>
      </c>
      <c r="L114" s="904">
        <v>64</v>
      </c>
      <c r="M114" s="904">
        <v>83</v>
      </c>
      <c r="N114" s="904">
        <v>111</v>
      </c>
      <c r="O114" s="921">
        <v>129</v>
      </c>
      <c r="P114" s="921">
        <v>127</v>
      </c>
      <c r="Q114" s="921">
        <v>215</v>
      </c>
      <c r="R114" s="921">
        <v>258</v>
      </c>
      <c r="S114" s="922">
        <v>729</v>
      </c>
      <c r="T114" s="940">
        <v>14.01923076923077</v>
      </c>
    </row>
    <row r="115" spans="1:20">
      <c r="A115" s="925" t="s">
        <v>245</v>
      </c>
      <c r="B115" s="903" t="s">
        <v>279</v>
      </c>
      <c r="C115" s="922">
        <v>724</v>
      </c>
      <c r="D115" s="922">
        <v>484</v>
      </c>
      <c r="E115" s="922">
        <v>498</v>
      </c>
      <c r="F115" s="922">
        <v>563</v>
      </c>
      <c r="G115" s="922">
        <v>551</v>
      </c>
      <c r="H115" s="922">
        <v>583</v>
      </c>
      <c r="I115" s="922">
        <v>687</v>
      </c>
      <c r="J115" s="922">
        <v>830</v>
      </c>
      <c r="K115" s="922">
        <v>1312</v>
      </c>
      <c r="L115" s="922">
        <v>923</v>
      </c>
      <c r="M115" s="922">
        <v>1170</v>
      </c>
      <c r="N115" s="922">
        <v>1555</v>
      </c>
      <c r="O115" s="921">
        <v>1706</v>
      </c>
      <c r="P115" s="921">
        <v>1697</v>
      </c>
      <c r="Q115" s="921">
        <v>2829</v>
      </c>
      <c r="R115" s="921">
        <v>3648</v>
      </c>
      <c r="S115" s="922">
        <v>9880</v>
      </c>
      <c r="T115" s="940">
        <v>190</v>
      </c>
    </row>
    <row r="116" spans="1:20">
      <c r="A116" s="925" t="s">
        <v>249</v>
      </c>
      <c r="B116" s="926" t="s">
        <v>109</v>
      </c>
      <c r="C116" s="904">
        <v>30</v>
      </c>
      <c r="D116" s="904">
        <v>21</v>
      </c>
      <c r="E116" s="904">
        <v>18</v>
      </c>
      <c r="F116" s="904">
        <v>20</v>
      </c>
      <c r="G116" s="904">
        <v>20</v>
      </c>
      <c r="H116" s="904">
        <v>20</v>
      </c>
      <c r="I116" s="904">
        <v>23</v>
      </c>
      <c r="J116" s="904">
        <v>28</v>
      </c>
      <c r="K116" s="904">
        <v>52</v>
      </c>
      <c r="L116" s="904">
        <v>33</v>
      </c>
      <c r="M116" s="904">
        <v>46</v>
      </c>
      <c r="N116" s="904">
        <v>54</v>
      </c>
      <c r="O116" s="921">
        <v>69</v>
      </c>
      <c r="P116" s="921">
        <v>60</v>
      </c>
      <c r="Q116" s="921">
        <v>103</v>
      </c>
      <c r="R116" s="921">
        <v>133</v>
      </c>
      <c r="S116" s="922">
        <v>365</v>
      </c>
      <c r="T116" s="940">
        <v>7.0192307692307692</v>
      </c>
    </row>
    <row r="117" spans="1:20">
      <c r="A117" s="925" t="s">
        <v>246</v>
      </c>
      <c r="B117" s="926" t="s">
        <v>47</v>
      </c>
      <c r="C117" s="904">
        <v>531</v>
      </c>
      <c r="D117" s="904">
        <v>355</v>
      </c>
      <c r="E117" s="904">
        <v>305</v>
      </c>
      <c r="F117" s="904">
        <v>349</v>
      </c>
      <c r="G117" s="904">
        <v>306</v>
      </c>
      <c r="H117" s="904">
        <v>342</v>
      </c>
      <c r="I117" s="904">
        <v>434</v>
      </c>
      <c r="J117" s="904">
        <v>443</v>
      </c>
      <c r="K117" s="904">
        <v>923</v>
      </c>
      <c r="L117" s="904">
        <v>516</v>
      </c>
      <c r="M117" s="904">
        <v>808</v>
      </c>
      <c r="N117" s="904">
        <v>963</v>
      </c>
      <c r="O117" s="921">
        <v>1191</v>
      </c>
      <c r="P117" s="921">
        <v>997</v>
      </c>
      <c r="Q117" s="921">
        <v>1800</v>
      </c>
      <c r="R117" s="921">
        <v>2287</v>
      </c>
      <c r="S117" s="922">
        <v>6275</v>
      </c>
      <c r="T117" s="940">
        <v>120.67307692307692</v>
      </c>
    </row>
    <row r="118" spans="1:20">
      <c r="A118" s="925" t="s">
        <v>251</v>
      </c>
      <c r="B118" s="926" t="s">
        <v>241</v>
      </c>
      <c r="C118" s="904">
        <v>507</v>
      </c>
      <c r="D118" s="904">
        <v>235</v>
      </c>
      <c r="E118" s="904">
        <v>354</v>
      </c>
      <c r="F118" s="904">
        <v>287</v>
      </c>
      <c r="G118" s="904">
        <v>235</v>
      </c>
      <c r="H118" s="904">
        <v>257</v>
      </c>
      <c r="I118" s="904">
        <v>376</v>
      </c>
      <c r="J118" s="904">
        <v>364</v>
      </c>
      <c r="K118" s="904">
        <v>783</v>
      </c>
      <c r="L118" s="904">
        <v>443</v>
      </c>
      <c r="M118" s="904">
        <v>835</v>
      </c>
      <c r="N118" s="904">
        <v>882</v>
      </c>
      <c r="O118" s="921">
        <v>1096</v>
      </c>
      <c r="P118" s="921">
        <v>779</v>
      </c>
      <c r="Q118" s="921">
        <v>1523</v>
      </c>
      <c r="R118" s="921">
        <v>2160</v>
      </c>
      <c r="S118" s="922">
        <v>5558</v>
      </c>
      <c r="T118" s="940">
        <v>106.88461538461539</v>
      </c>
    </row>
    <row r="119" spans="1:20">
      <c r="A119" s="925" t="s">
        <v>260</v>
      </c>
      <c r="B119" s="903" t="s">
        <v>115</v>
      </c>
      <c r="C119" s="922">
        <v>69</v>
      </c>
      <c r="D119" s="922">
        <v>39</v>
      </c>
      <c r="E119" s="922">
        <v>38</v>
      </c>
      <c r="F119" s="922">
        <v>44</v>
      </c>
      <c r="G119" s="922">
        <v>38</v>
      </c>
      <c r="H119" s="922">
        <v>40</v>
      </c>
      <c r="I119" s="922">
        <v>67</v>
      </c>
      <c r="J119" s="922">
        <v>67</v>
      </c>
      <c r="K119" s="922">
        <v>111</v>
      </c>
      <c r="L119" s="922">
        <v>65</v>
      </c>
      <c r="M119" s="922">
        <v>118</v>
      </c>
      <c r="N119" s="922">
        <v>142</v>
      </c>
      <c r="O119" s="921">
        <v>146</v>
      </c>
      <c r="P119" s="921">
        <v>122</v>
      </c>
      <c r="Q119" s="921">
        <v>245</v>
      </c>
      <c r="R119" s="921">
        <v>325</v>
      </c>
      <c r="S119" s="922">
        <v>838</v>
      </c>
      <c r="T119" s="940">
        <v>16.115384615384617</v>
      </c>
    </row>
    <row r="120" spans="1:20">
      <c r="A120" s="1017" t="s">
        <v>268</v>
      </c>
      <c r="B120" s="941" t="s">
        <v>250</v>
      </c>
      <c r="C120" s="942">
        <v>19</v>
      </c>
      <c r="D120" s="942">
        <v>16</v>
      </c>
      <c r="E120" s="942">
        <v>25</v>
      </c>
      <c r="F120" s="942">
        <v>24</v>
      </c>
      <c r="G120" s="942">
        <v>18</v>
      </c>
      <c r="H120" s="942">
        <v>25</v>
      </c>
      <c r="I120" s="942">
        <v>33</v>
      </c>
      <c r="J120" s="942">
        <v>47</v>
      </c>
      <c r="K120" s="942">
        <v>32</v>
      </c>
      <c r="L120" s="942">
        <v>31</v>
      </c>
      <c r="M120" s="942">
        <v>37</v>
      </c>
      <c r="N120" s="942">
        <v>57</v>
      </c>
      <c r="O120" s="943">
        <v>60</v>
      </c>
      <c r="P120" s="943">
        <v>67</v>
      </c>
      <c r="Q120" s="943">
        <v>112</v>
      </c>
      <c r="R120" s="943">
        <v>125</v>
      </c>
      <c r="S120" s="943">
        <v>364</v>
      </c>
      <c r="T120" s="957"/>
    </row>
    <row r="121" spans="1:20">
      <c r="A121" s="1018"/>
      <c r="B121" s="941" t="s">
        <v>247</v>
      </c>
      <c r="C121" s="942">
        <v>193</v>
      </c>
      <c r="D121" s="942">
        <v>129</v>
      </c>
      <c r="E121" s="942">
        <v>193</v>
      </c>
      <c r="F121" s="942">
        <v>214</v>
      </c>
      <c r="G121" s="942">
        <v>245</v>
      </c>
      <c r="H121" s="942">
        <v>241</v>
      </c>
      <c r="I121" s="942">
        <v>253</v>
      </c>
      <c r="J121" s="942">
        <v>387</v>
      </c>
      <c r="K121" s="942">
        <v>389</v>
      </c>
      <c r="L121" s="942">
        <v>407</v>
      </c>
      <c r="M121" s="942">
        <v>362</v>
      </c>
      <c r="N121" s="942">
        <v>592</v>
      </c>
      <c r="O121" s="943">
        <v>515</v>
      </c>
      <c r="P121" s="943">
        <v>700</v>
      </c>
      <c r="Q121" s="943">
        <v>1029</v>
      </c>
      <c r="R121" s="943">
        <v>1361</v>
      </c>
      <c r="S121" s="943">
        <v>3605</v>
      </c>
      <c r="T121" s="957"/>
    </row>
    <row r="122" spans="1:20">
      <c r="A122" s="1019"/>
      <c r="B122" s="941" t="s">
        <v>261</v>
      </c>
      <c r="C122" s="946">
        <v>10.157894736842104</v>
      </c>
      <c r="D122" s="946">
        <v>8.0625</v>
      </c>
      <c r="E122" s="946">
        <v>7.72</v>
      </c>
      <c r="F122" s="946">
        <v>8.9166666666666661</v>
      </c>
      <c r="G122" s="946">
        <v>13.611111111111111</v>
      </c>
      <c r="H122" s="946">
        <v>9.64</v>
      </c>
      <c r="I122" s="946">
        <v>7.666666666666667</v>
      </c>
      <c r="J122" s="946">
        <v>8.2340425531914896</v>
      </c>
      <c r="K122" s="946">
        <v>12.15625</v>
      </c>
      <c r="L122" s="946">
        <v>13.129032258064516</v>
      </c>
      <c r="M122" s="946">
        <v>9.7837837837837842</v>
      </c>
      <c r="N122" s="946">
        <v>10.385964912280702</v>
      </c>
      <c r="O122" s="946">
        <v>8.5833333333333339</v>
      </c>
      <c r="P122" s="946">
        <v>10.447761194029852</v>
      </c>
      <c r="Q122" s="946">
        <v>9.1875</v>
      </c>
      <c r="R122" s="946">
        <v>10.888</v>
      </c>
      <c r="S122" s="946">
        <v>13.552631578947368</v>
      </c>
      <c r="T122" s="957"/>
    </row>
    <row r="123" spans="1:20" ht="6" customHeight="1" thickBot="1">
      <c r="A123" s="927"/>
      <c r="B123" s="928"/>
      <c r="C123" s="928"/>
      <c r="D123" s="928"/>
      <c r="E123" s="928"/>
      <c r="F123" s="928"/>
      <c r="G123" s="928"/>
      <c r="H123" s="928"/>
      <c r="I123" s="928"/>
      <c r="J123" s="928"/>
      <c r="K123" s="928"/>
      <c r="L123" s="928"/>
      <c r="M123" s="928"/>
      <c r="N123" s="928"/>
      <c r="O123" s="929"/>
      <c r="P123" s="929"/>
      <c r="Q123" s="929"/>
      <c r="R123" s="929"/>
      <c r="S123" s="930"/>
      <c r="T123" s="931"/>
    </row>
    <row r="124" spans="1:20">
      <c r="A124" s="961" t="s">
        <v>262</v>
      </c>
      <c r="B124" s="932" t="s">
        <v>187</v>
      </c>
      <c r="C124" s="933">
        <v>31</v>
      </c>
      <c r="D124" s="933">
        <v>31</v>
      </c>
      <c r="E124" s="933">
        <v>30</v>
      </c>
      <c r="F124" s="933">
        <v>31</v>
      </c>
      <c r="G124" s="933">
        <v>29</v>
      </c>
      <c r="H124" s="933">
        <v>28</v>
      </c>
      <c r="I124" s="933">
        <v>31</v>
      </c>
      <c r="J124" s="933">
        <v>28</v>
      </c>
      <c r="K124" s="933">
        <v>31</v>
      </c>
      <c r="L124" s="933">
        <v>30</v>
      </c>
      <c r="M124" s="933">
        <v>31</v>
      </c>
      <c r="N124" s="933">
        <v>30</v>
      </c>
      <c r="O124" s="934">
        <v>92</v>
      </c>
      <c r="P124" s="934">
        <v>88</v>
      </c>
      <c r="Q124" s="934">
        <v>90</v>
      </c>
      <c r="R124" s="934">
        <v>91</v>
      </c>
      <c r="S124" s="935">
        <v>361</v>
      </c>
      <c r="T124" s="907"/>
    </row>
    <row r="125" spans="1:20" ht="16.2" thickBot="1">
      <c r="A125" s="962" t="s">
        <v>297</v>
      </c>
      <c r="B125" s="936" t="s">
        <v>244</v>
      </c>
      <c r="C125" s="937">
        <v>30</v>
      </c>
      <c r="D125" s="937">
        <v>28</v>
      </c>
      <c r="E125" s="937">
        <v>28</v>
      </c>
      <c r="F125" s="937">
        <v>28</v>
      </c>
      <c r="G125" s="937">
        <v>28</v>
      </c>
      <c r="H125" s="937">
        <v>28</v>
      </c>
      <c r="I125" s="937">
        <v>28</v>
      </c>
      <c r="J125" s="937">
        <v>28</v>
      </c>
      <c r="K125" s="937">
        <v>28</v>
      </c>
      <c r="L125" s="937">
        <v>34</v>
      </c>
      <c r="M125" s="937">
        <v>34</v>
      </c>
      <c r="N125" s="937">
        <v>34</v>
      </c>
      <c r="O125" s="915">
        <v>30</v>
      </c>
      <c r="P125" s="915">
        <v>28</v>
      </c>
      <c r="Q125" s="915">
        <v>28</v>
      </c>
      <c r="R125" s="915">
        <v>34</v>
      </c>
      <c r="S125" s="963">
        <v>34</v>
      </c>
      <c r="T125" s="939">
        <v>34</v>
      </c>
    </row>
    <row r="126" spans="1:20">
      <c r="A126" s="918" t="s">
        <v>248</v>
      </c>
      <c r="B126" s="919" t="s">
        <v>45</v>
      </c>
      <c r="C126" s="922">
        <v>5681.62</v>
      </c>
      <c r="D126" s="922">
        <v>6263.78</v>
      </c>
      <c r="E126" s="922">
        <v>5629.32</v>
      </c>
      <c r="F126" s="922">
        <v>6602.43</v>
      </c>
      <c r="G126" s="922">
        <v>5864.52</v>
      </c>
      <c r="H126" s="922">
        <v>5317.35</v>
      </c>
      <c r="I126" s="922">
        <v>6404.57</v>
      </c>
      <c r="J126" s="922">
        <v>6102.38</v>
      </c>
      <c r="K126" s="922">
        <v>6518.1</v>
      </c>
      <c r="L126" s="922">
        <v>6518.35</v>
      </c>
      <c r="M126" s="922">
        <v>7088.88</v>
      </c>
      <c r="N126" s="922">
        <v>6457.58</v>
      </c>
      <c r="O126" s="921">
        <v>17574.72</v>
      </c>
      <c r="P126" s="921">
        <v>17784.300000000003</v>
      </c>
      <c r="Q126" s="921">
        <v>19025.050000000003</v>
      </c>
      <c r="R126" s="921">
        <v>20064.809999999998</v>
      </c>
      <c r="S126" s="922">
        <v>74448.88</v>
      </c>
      <c r="T126" s="940">
        <v>206.22958448753465</v>
      </c>
    </row>
    <row r="127" spans="1:20">
      <c r="A127" s="925" t="s">
        <v>245</v>
      </c>
      <c r="B127" s="903" t="s">
        <v>46</v>
      </c>
      <c r="C127" s="922">
        <v>104697</v>
      </c>
      <c r="D127" s="922">
        <v>114179</v>
      </c>
      <c r="E127" s="922">
        <v>100212</v>
      </c>
      <c r="F127" s="922">
        <v>117290</v>
      </c>
      <c r="G127" s="922">
        <v>103335</v>
      </c>
      <c r="H127" s="922">
        <v>89184</v>
      </c>
      <c r="I127" s="922">
        <v>112135</v>
      </c>
      <c r="J127" s="922">
        <v>106226</v>
      </c>
      <c r="K127" s="922">
        <v>114355</v>
      </c>
      <c r="L127" s="922">
        <v>113983</v>
      </c>
      <c r="M127" s="922">
        <v>121761</v>
      </c>
      <c r="N127" s="922">
        <v>110928</v>
      </c>
      <c r="O127" s="921">
        <v>319088</v>
      </c>
      <c r="P127" s="921">
        <v>309809</v>
      </c>
      <c r="Q127" s="921">
        <v>332716</v>
      </c>
      <c r="R127" s="921">
        <v>346672</v>
      </c>
      <c r="S127" s="922">
        <v>1308285</v>
      </c>
      <c r="T127" s="940">
        <v>3624.0581717451523</v>
      </c>
    </row>
    <row r="128" spans="1:20">
      <c r="A128" s="925" t="s">
        <v>249</v>
      </c>
      <c r="B128" s="926" t="s">
        <v>109</v>
      </c>
      <c r="C128" s="922">
        <v>4638.63</v>
      </c>
      <c r="D128" s="922">
        <v>5162.2700000000004</v>
      </c>
      <c r="E128" s="922">
        <v>4494.05</v>
      </c>
      <c r="F128" s="922">
        <v>5325.38</v>
      </c>
      <c r="G128" s="922">
        <v>4657.6499999999996</v>
      </c>
      <c r="H128" s="922">
        <v>3960.28</v>
      </c>
      <c r="I128" s="922">
        <v>4932.25</v>
      </c>
      <c r="J128" s="922">
        <v>4829.6000000000004</v>
      </c>
      <c r="K128" s="922">
        <v>5064.12</v>
      </c>
      <c r="L128" s="922">
        <v>5009.05</v>
      </c>
      <c r="M128" s="922">
        <v>5334.77</v>
      </c>
      <c r="N128" s="922">
        <v>4884.5</v>
      </c>
      <c r="O128" s="921">
        <v>14294.95</v>
      </c>
      <c r="P128" s="921">
        <v>13943.31</v>
      </c>
      <c r="Q128" s="921">
        <v>14825.970000000001</v>
      </c>
      <c r="R128" s="921">
        <v>15228.32</v>
      </c>
      <c r="S128" s="922">
        <v>58292.55</v>
      </c>
      <c r="T128" s="940">
        <v>161.47520775623269</v>
      </c>
    </row>
    <row r="129" spans="1:20">
      <c r="A129" s="925" t="s">
        <v>246</v>
      </c>
      <c r="B129" s="926" t="s">
        <v>47</v>
      </c>
      <c r="C129" s="922">
        <v>86396</v>
      </c>
      <c r="D129" s="922">
        <v>95658</v>
      </c>
      <c r="E129" s="922">
        <v>82130</v>
      </c>
      <c r="F129" s="922">
        <v>97221</v>
      </c>
      <c r="G129" s="922">
        <v>84838</v>
      </c>
      <c r="H129" s="922">
        <v>70606</v>
      </c>
      <c r="I129" s="922">
        <v>89866</v>
      </c>
      <c r="J129" s="922">
        <v>86422</v>
      </c>
      <c r="K129" s="922">
        <v>91610</v>
      </c>
      <c r="L129" s="922">
        <v>90628</v>
      </c>
      <c r="M129" s="922">
        <v>95814</v>
      </c>
      <c r="N129" s="922">
        <v>87338</v>
      </c>
      <c r="O129" s="921">
        <v>264184</v>
      </c>
      <c r="P129" s="921">
        <v>252665</v>
      </c>
      <c r="Q129" s="921">
        <v>267898</v>
      </c>
      <c r="R129" s="921">
        <v>273780</v>
      </c>
      <c r="S129" s="922">
        <v>1058527</v>
      </c>
      <c r="T129" s="940">
        <v>2932.2077562326872</v>
      </c>
    </row>
    <row r="130" spans="1:20">
      <c r="A130" s="925" t="s">
        <v>251</v>
      </c>
      <c r="B130" s="926" t="s">
        <v>241</v>
      </c>
      <c r="C130" s="922">
        <v>122537</v>
      </c>
      <c r="D130" s="922">
        <v>135316</v>
      </c>
      <c r="E130" s="922">
        <v>117341</v>
      </c>
      <c r="F130" s="922">
        <v>139184</v>
      </c>
      <c r="G130" s="922">
        <v>114551</v>
      </c>
      <c r="H130" s="922">
        <v>93761</v>
      </c>
      <c r="I130" s="922">
        <v>124.31999999999971</v>
      </c>
      <c r="J130" s="922">
        <v>120537</v>
      </c>
      <c r="K130" s="922">
        <v>128653</v>
      </c>
      <c r="L130" s="922">
        <v>129797</v>
      </c>
      <c r="M130" s="922">
        <v>139860</v>
      </c>
      <c r="N130" s="922">
        <v>127017</v>
      </c>
      <c r="O130" s="921">
        <v>375194</v>
      </c>
      <c r="P130" s="921">
        <v>347496</v>
      </c>
      <c r="Q130" s="921">
        <v>249314.32</v>
      </c>
      <c r="R130" s="921">
        <v>396674</v>
      </c>
      <c r="S130" s="922">
        <v>1368678.3199999998</v>
      </c>
      <c r="T130" s="940">
        <v>3791.3526869806092</v>
      </c>
    </row>
    <row r="131" spans="1:20">
      <c r="A131" s="925" t="s">
        <v>260</v>
      </c>
      <c r="B131" s="903" t="s">
        <v>115</v>
      </c>
      <c r="C131" s="922">
        <v>12130</v>
      </c>
      <c r="D131" s="922">
        <v>13263</v>
      </c>
      <c r="E131" s="922">
        <v>11264</v>
      </c>
      <c r="F131" s="922">
        <v>13360</v>
      </c>
      <c r="G131" s="922">
        <v>11123</v>
      </c>
      <c r="H131" s="922">
        <v>9349</v>
      </c>
      <c r="I131" s="922">
        <v>12017</v>
      </c>
      <c r="J131" s="922">
        <v>11872</v>
      </c>
      <c r="K131" s="922">
        <v>12624</v>
      </c>
      <c r="L131" s="922">
        <v>12573</v>
      </c>
      <c r="M131" s="922">
        <v>13434</v>
      </c>
      <c r="N131" s="922">
        <v>12377</v>
      </c>
      <c r="O131" s="921">
        <v>36657</v>
      </c>
      <c r="P131" s="921">
        <v>33832</v>
      </c>
      <c r="Q131" s="921">
        <v>36513</v>
      </c>
      <c r="R131" s="921">
        <v>38384</v>
      </c>
      <c r="S131" s="922">
        <v>145386</v>
      </c>
      <c r="T131" s="940">
        <v>402.7313019390582</v>
      </c>
    </row>
    <row r="132" spans="1:20">
      <c r="A132" s="1017" t="s">
        <v>268</v>
      </c>
      <c r="B132" s="941" t="s">
        <v>250</v>
      </c>
      <c r="C132" s="942">
        <v>1042.9899999999998</v>
      </c>
      <c r="D132" s="942">
        <v>1101.5099999999993</v>
      </c>
      <c r="E132" s="942">
        <v>1135.2699999999995</v>
      </c>
      <c r="F132" s="942">
        <v>1277.0500000000002</v>
      </c>
      <c r="G132" s="942">
        <v>1206.8700000000008</v>
      </c>
      <c r="H132" s="942">
        <v>1357.0700000000002</v>
      </c>
      <c r="I132" s="942">
        <v>1472.3199999999997</v>
      </c>
      <c r="J132" s="942">
        <v>1272.7799999999997</v>
      </c>
      <c r="K132" s="942">
        <v>1453.9800000000005</v>
      </c>
      <c r="L132" s="942">
        <v>1509.3000000000002</v>
      </c>
      <c r="M132" s="942">
        <v>1754.1099999999997</v>
      </c>
      <c r="N132" s="942">
        <v>1573.08</v>
      </c>
      <c r="O132" s="942">
        <v>3279.7699999999986</v>
      </c>
      <c r="P132" s="942">
        <v>3840.9900000000011</v>
      </c>
      <c r="Q132" s="942">
        <v>4199.08</v>
      </c>
      <c r="R132" s="942">
        <v>4836.49</v>
      </c>
      <c r="S132" s="942">
        <v>16156.33</v>
      </c>
      <c r="T132" s="964"/>
    </row>
    <row r="133" spans="1:20">
      <c r="A133" s="1018"/>
      <c r="B133" s="941" t="s">
        <v>247</v>
      </c>
      <c r="C133" s="942">
        <v>18301</v>
      </c>
      <c r="D133" s="942">
        <v>18521</v>
      </c>
      <c r="E133" s="942">
        <v>18082</v>
      </c>
      <c r="F133" s="942">
        <v>20069</v>
      </c>
      <c r="G133" s="942">
        <v>18497</v>
      </c>
      <c r="H133" s="942">
        <v>18578</v>
      </c>
      <c r="I133" s="942">
        <v>22269</v>
      </c>
      <c r="J133" s="942">
        <v>19804</v>
      </c>
      <c r="K133" s="942">
        <v>22745</v>
      </c>
      <c r="L133" s="942">
        <v>23355</v>
      </c>
      <c r="M133" s="942">
        <v>25947</v>
      </c>
      <c r="N133" s="942">
        <v>23590</v>
      </c>
      <c r="O133" s="943">
        <v>54904</v>
      </c>
      <c r="P133" s="943">
        <v>57144</v>
      </c>
      <c r="Q133" s="943">
        <v>64818</v>
      </c>
      <c r="R133" s="943">
        <v>72892</v>
      </c>
      <c r="S133" s="942">
        <v>249758</v>
      </c>
      <c r="T133" s="964"/>
    </row>
    <row r="134" spans="1:20">
      <c r="A134" s="1019"/>
      <c r="B134" s="941" t="s">
        <v>261</v>
      </c>
      <c r="C134" s="965">
        <v>17.546668712068193</v>
      </c>
      <c r="D134" s="965">
        <v>16.814191428130485</v>
      </c>
      <c r="E134" s="965">
        <v>15.927488615043124</v>
      </c>
      <c r="F134" s="965">
        <v>15.715124701460395</v>
      </c>
      <c r="G134" s="965">
        <v>15.326422895589408</v>
      </c>
      <c r="H134" s="965">
        <v>13.689787557016217</v>
      </c>
      <c r="I134" s="965">
        <v>15.125108672027823</v>
      </c>
      <c r="J134" s="965">
        <v>15.559641100582979</v>
      </c>
      <c r="K134" s="965">
        <v>15.643268820754063</v>
      </c>
      <c r="L134" s="965">
        <v>15.47406082289803</v>
      </c>
      <c r="M134" s="965">
        <v>14.792116799972639</v>
      </c>
      <c r="N134" s="965">
        <v>14.99605868741577</v>
      </c>
      <c r="O134" s="965">
        <v>16.740198245608692</v>
      </c>
      <c r="P134" s="965">
        <v>14.877414416595718</v>
      </c>
      <c r="Q134" s="965">
        <v>15.436238414128809</v>
      </c>
      <c r="R134" s="965">
        <v>15.071260356167386</v>
      </c>
      <c r="S134" s="965">
        <v>15.458832544272122</v>
      </c>
      <c r="T134" s="966"/>
    </row>
  </sheetData>
  <mergeCells count="16">
    <mergeCell ref="A3:A4"/>
    <mergeCell ref="A5:A6"/>
    <mergeCell ref="A14:A19"/>
    <mergeCell ref="A65:A67"/>
    <mergeCell ref="A29:A31"/>
    <mergeCell ref="A41:A43"/>
    <mergeCell ref="A53:A55"/>
    <mergeCell ref="A21:A22"/>
    <mergeCell ref="A108:A110"/>
    <mergeCell ref="A120:A122"/>
    <mergeCell ref="A132:A134"/>
    <mergeCell ref="A70:A71"/>
    <mergeCell ref="A72:A73"/>
    <mergeCell ref="A81:A86"/>
    <mergeCell ref="A88:A89"/>
    <mergeCell ref="A96:A98"/>
  </mergeCells>
  <dataValidations count="2">
    <dataValidation type="textLength" allowBlank="1" showInputMessage="1" showErrorMessage="1" errorTitle="Not editable" error="This field cannot be edited" sqref="S23:S28 O21:S21 S59:S64 O33:S33 S35:S40 O57:S57 O45:S45 S14:S19 S47:S52 S7:S12 O3:S3">
      <formula1>75</formula1>
      <formula2>76</formula2>
    </dataValidation>
    <dataValidation type="whole" allowBlank="1" showInputMessage="1" showErrorMessage="1" errorTitle="Invalid Data" error="Enter only Monday-Friday operating days for the month" sqref="C21:N21 C33:N33 C59:N64 C57:N57 C45:N45">
      <formula1>0</formula1>
      <formula2>23</formula2>
    </dataValidation>
  </dataValidations>
  <printOptions horizontalCentered="1"/>
  <pageMargins left="0.2" right="0.2" top="0.5" bottom="0.5" header="0.3" footer="0.3"/>
  <pageSetup scale="69" fitToHeight="2" orientation="landscape" r:id="rId1"/>
  <headerFooter>
    <oddFooter>&amp;L&amp;A&amp;R&amp;P</oddFooter>
  </headerFooter>
  <rowBreaks count="1" manualBreakCount="1">
    <brk id="55" max="22" man="1"/>
  </rowBreaks>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ignoredErrors>
    <ignoredError sqref="S21 S33 S45 S7:S12 C12:N12 C21:N21 C29:S30 C41:S41 C53:N54 C65:S65 S14:S19 C19:D19 G19:J19 P23:Q28 P35:Q40 Q7:Q12 C42:N42 S42 C66:N66 S66 Q14:Q19 O47:S52 C57:S57 R7:R19 C48:N48 L19:N19 C52:N52 S3 S23:S28 C23:N28 S35:S40 C59:S64" unlockedFormula="1"/>
  </ignoredErrors>
  <legacy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128"/>
  <sheetViews>
    <sheetView zoomScale="85" zoomScaleNormal="85" workbookViewId="0">
      <selection sqref="A1:U1"/>
    </sheetView>
  </sheetViews>
  <sheetFormatPr defaultColWidth="9.109375" defaultRowHeight="13.2"/>
  <cols>
    <col min="1" max="1" width="3.88671875" style="394" customWidth="1"/>
    <col min="2" max="2" width="1.6640625" style="371" customWidth="1"/>
    <col min="3" max="3" width="42.6640625" style="371" customWidth="1"/>
    <col min="4" max="9" width="11.6640625" style="371" customWidth="1"/>
    <col min="10" max="15" width="11.6640625" style="371" hidden="1" customWidth="1"/>
    <col min="16" max="17" width="11" style="371" customWidth="1"/>
    <col min="18" max="19" width="11" style="371" hidden="1" customWidth="1"/>
    <col min="20" max="20" width="12.33203125" style="371" bestFit="1" customWidth="1"/>
    <col min="21" max="21" width="3.88671875" style="395" customWidth="1"/>
    <col min="22" max="16384" width="9.109375" style="371"/>
  </cols>
  <sheetData>
    <row r="1" spans="1:30">
      <c r="A1" s="1030" t="s">
        <v>437</v>
      </c>
      <c r="B1" s="1030"/>
      <c r="C1" s="1030"/>
      <c r="D1" s="1030"/>
      <c r="E1" s="1030"/>
      <c r="F1" s="1030"/>
      <c r="G1" s="1030"/>
      <c r="H1" s="1030"/>
      <c r="I1" s="1030"/>
      <c r="J1" s="1030"/>
      <c r="K1" s="1030"/>
      <c r="L1" s="1030"/>
      <c r="M1" s="1030"/>
      <c r="N1" s="1030"/>
      <c r="O1" s="1030"/>
      <c r="P1" s="1030"/>
      <c r="Q1" s="1030"/>
      <c r="R1" s="1030"/>
      <c r="S1" s="1030"/>
      <c r="T1" s="1030"/>
      <c r="U1" s="1030"/>
    </row>
    <row r="2" spans="1:30" ht="13.8">
      <c r="A2" s="1028" t="s">
        <v>386</v>
      </c>
      <c r="B2" s="1029"/>
      <c r="C2" s="1029"/>
      <c r="D2" s="1029"/>
      <c r="E2" s="1029"/>
      <c r="F2" s="1029"/>
      <c r="G2" s="1029"/>
      <c r="H2" s="1029"/>
      <c r="I2" s="1029"/>
      <c r="J2" s="1029"/>
      <c r="K2" s="1029"/>
      <c r="L2" s="1029"/>
      <c r="M2" s="1029"/>
      <c r="N2" s="1029"/>
      <c r="O2" s="1029"/>
      <c r="P2" s="1029"/>
      <c r="Q2" s="1029"/>
      <c r="R2" s="1029"/>
      <c r="S2" s="1029"/>
      <c r="T2" s="1029"/>
      <c r="U2" s="1029"/>
    </row>
    <row r="3" spans="1:30" ht="13.8" thickBot="1"/>
    <row r="4" spans="1:30" s="353" customFormat="1" ht="22.8">
      <c r="A4" s="347"/>
      <c r="B4" s="400" t="s">
        <v>432</v>
      </c>
      <c r="C4" s="349"/>
      <c r="D4" s="350"/>
      <c r="E4" s="350"/>
      <c r="F4" s="350"/>
      <c r="G4" s="350"/>
      <c r="H4" s="350"/>
      <c r="I4" s="350"/>
      <c r="J4" s="350"/>
      <c r="K4" s="350"/>
      <c r="L4" s="350"/>
      <c r="M4" s="350"/>
      <c r="N4" s="350"/>
      <c r="O4" s="350"/>
      <c r="P4" s="351"/>
      <c r="Q4" s="351"/>
      <c r="R4" s="351"/>
      <c r="S4" s="351"/>
      <c r="T4" s="349"/>
      <c r="U4" s="352"/>
      <c r="V4" s="1031"/>
      <c r="W4" s="1032"/>
      <c r="X4" s="1032"/>
      <c r="Y4" s="1032"/>
      <c r="Z4" s="1032"/>
      <c r="AA4" s="1032"/>
      <c r="AB4" s="1032"/>
      <c r="AC4" s="1032"/>
    </row>
    <row r="5" spans="1:30" s="353" customFormat="1" ht="14.25" customHeight="1">
      <c r="A5" s="354"/>
      <c r="B5" s="355"/>
      <c r="C5" s="356"/>
      <c r="D5" s="357" t="s">
        <v>395</v>
      </c>
      <c r="E5" s="358" t="s">
        <v>396</v>
      </c>
      <c r="F5" s="358" t="s">
        <v>397</v>
      </c>
      <c r="G5" s="358" t="s">
        <v>398</v>
      </c>
      <c r="H5" s="358" t="s">
        <v>399</v>
      </c>
      <c r="I5" s="358" t="s">
        <v>400</v>
      </c>
      <c r="J5" s="358" t="s">
        <v>401</v>
      </c>
      <c r="K5" s="358" t="s">
        <v>402</v>
      </c>
      <c r="L5" s="358" t="s">
        <v>403</v>
      </c>
      <c r="M5" s="358" t="s">
        <v>404</v>
      </c>
      <c r="N5" s="358" t="s">
        <v>405</v>
      </c>
      <c r="O5" s="358" t="s">
        <v>406</v>
      </c>
      <c r="P5" s="358" t="s">
        <v>415</v>
      </c>
      <c r="Q5" s="358" t="s">
        <v>416</v>
      </c>
      <c r="R5" s="358" t="s">
        <v>417</v>
      </c>
      <c r="S5" s="358" t="s">
        <v>418</v>
      </c>
      <c r="T5" s="356"/>
      <c r="U5" s="360"/>
      <c r="V5" s="1033"/>
      <c r="W5" s="1032"/>
      <c r="X5" s="1032"/>
      <c r="Y5" s="1032"/>
      <c r="Z5" s="1032"/>
      <c r="AA5" s="1032"/>
      <c r="AB5" s="1032"/>
      <c r="AC5" s="1032"/>
    </row>
    <row r="6" spans="1:30" s="365" customFormat="1" ht="23.25" customHeight="1">
      <c r="A6" s="361"/>
      <c r="B6" s="1034" t="str">
        <f>Trips!B3</f>
        <v>FY 2020</v>
      </c>
      <c r="C6" s="1035"/>
      <c r="D6" s="362" t="s">
        <v>8</v>
      </c>
      <c r="E6" s="362" t="s">
        <v>78</v>
      </c>
      <c r="F6" s="362" t="s">
        <v>79</v>
      </c>
      <c r="G6" s="362" t="s">
        <v>80</v>
      </c>
      <c r="H6" s="362" t="s">
        <v>81</v>
      </c>
      <c r="I6" s="362" t="s">
        <v>82</v>
      </c>
      <c r="J6" s="362" t="s">
        <v>83</v>
      </c>
      <c r="K6" s="362" t="s">
        <v>84</v>
      </c>
      <c r="L6" s="362" t="s">
        <v>85</v>
      </c>
      <c r="M6" s="362" t="s">
        <v>4</v>
      </c>
      <c r="N6" s="362" t="s">
        <v>5</v>
      </c>
      <c r="O6" s="362" t="s">
        <v>6</v>
      </c>
      <c r="P6" s="363" t="s">
        <v>110</v>
      </c>
      <c r="Q6" s="363" t="s">
        <v>111</v>
      </c>
      <c r="R6" s="363" t="s">
        <v>112</v>
      </c>
      <c r="S6" s="363" t="s">
        <v>113</v>
      </c>
      <c r="T6" s="363" t="s">
        <v>114</v>
      </c>
      <c r="U6" s="364"/>
      <c r="V6" s="1033"/>
      <c r="W6" s="1032"/>
      <c r="X6" s="1032"/>
      <c r="Y6" s="1032"/>
      <c r="Z6" s="1032"/>
      <c r="AA6" s="1032"/>
      <c r="AB6" s="1032"/>
      <c r="AC6" s="1032"/>
    </row>
    <row r="7" spans="1:30" ht="17.399999999999999">
      <c r="A7" s="366">
        <v>22</v>
      </c>
      <c r="B7" s="367"/>
      <c r="C7" s="401" t="s">
        <v>187</v>
      </c>
      <c r="D7" s="398">
        <f>'OpStatsTotals(DR)'!C3</f>
        <v>23</v>
      </c>
      <c r="E7" s="398">
        <f>'OpStatsTotals(DR)'!D3</f>
        <v>22</v>
      </c>
      <c r="F7" s="398">
        <f>'OpStatsTotals(DR)'!E3</f>
        <v>21</v>
      </c>
      <c r="G7" s="398">
        <f>'OpStatsTotals(DR)'!F3</f>
        <v>23</v>
      </c>
      <c r="H7" s="398">
        <f>'OpStatsTotals(DR)'!G3</f>
        <v>20</v>
      </c>
      <c r="I7" s="398">
        <f>'OpStatsTotals(DR)'!H3</f>
        <v>21</v>
      </c>
      <c r="J7" s="398">
        <f>'OpStatsTotals(DR)'!I3</f>
        <v>0</v>
      </c>
      <c r="K7" s="398">
        <f>'OpStatsTotals(DR)'!J3</f>
        <v>0</v>
      </c>
      <c r="L7" s="398">
        <f>'OpStatsTotals(DR)'!K3</f>
        <v>0</v>
      </c>
      <c r="M7" s="398">
        <f>'OpStatsTotals(DR)'!L3</f>
        <v>0</v>
      </c>
      <c r="N7" s="398">
        <f>'OpStatsTotals(DR)'!M3</f>
        <v>0</v>
      </c>
      <c r="O7" s="398">
        <f>'OpStatsTotals(DR)'!N3</f>
        <v>0</v>
      </c>
      <c r="P7" s="369">
        <f>D7+E7+F7</f>
        <v>66</v>
      </c>
      <c r="Q7" s="369">
        <f>G7+H7+I7</f>
        <v>64</v>
      </c>
      <c r="R7" s="369">
        <f>J7+K7+L7</f>
        <v>0</v>
      </c>
      <c r="S7" s="369">
        <f>M7+N7+O7</f>
        <v>0</v>
      </c>
      <c r="T7" s="369">
        <f>SUM(D7:O7)</f>
        <v>130</v>
      </c>
      <c r="U7" s="370">
        <v>22</v>
      </c>
      <c r="V7" s="1033"/>
      <c r="W7" s="1032"/>
      <c r="X7" s="1032"/>
      <c r="Y7" s="1032"/>
      <c r="Z7" s="1032"/>
      <c r="AA7" s="1032"/>
      <c r="AB7" s="1032"/>
      <c r="AC7" s="1032"/>
    </row>
    <row r="8" spans="1:30" s="403" customFormat="1" ht="13.8" hidden="1">
      <c r="A8" s="366"/>
      <c r="B8" s="402"/>
      <c r="C8" s="373"/>
      <c r="D8" s="402"/>
      <c r="E8" s="402"/>
      <c r="F8" s="402"/>
      <c r="G8" s="402"/>
      <c r="H8" s="402"/>
      <c r="I8" s="402"/>
      <c r="J8" s="402"/>
      <c r="K8" s="402"/>
      <c r="L8" s="402"/>
      <c r="M8" s="402"/>
      <c r="N8" s="402"/>
      <c r="O8" s="402"/>
      <c r="P8" s="402"/>
      <c r="Q8" s="402"/>
      <c r="R8" s="402"/>
      <c r="S8" s="402"/>
      <c r="T8" s="402"/>
      <c r="U8" s="360"/>
      <c r="V8" s="1033"/>
      <c r="W8" s="1032"/>
      <c r="X8" s="1032"/>
      <c r="Y8" s="1032"/>
      <c r="Z8" s="1032"/>
      <c r="AA8" s="1032"/>
      <c r="AB8" s="1032"/>
      <c r="AC8" s="1032"/>
      <c r="AD8" s="371"/>
    </row>
    <row r="9" spans="1:30" s="403" customFormat="1" ht="13.8" hidden="1">
      <c r="A9" s="366">
        <v>23</v>
      </c>
      <c r="B9" s="404"/>
      <c r="C9" s="405" t="s">
        <v>419</v>
      </c>
      <c r="D9" s="406"/>
      <c r="E9" s="406"/>
      <c r="F9" s="406"/>
      <c r="G9" s="406"/>
      <c r="H9" s="406"/>
      <c r="I9" s="406"/>
      <c r="J9" s="406"/>
      <c r="K9" s="406"/>
      <c r="L9" s="406"/>
      <c r="M9" s="406"/>
      <c r="N9" s="406"/>
      <c r="O9" s="406"/>
      <c r="P9" s="396"/>
      <c r="Q9" s="396"/>
      <c r="R9" s="396"/>
      <c r="S9" s="396"/>
      <c r="T9" s="407"/>
      <c r="U9" s="370">
        <f>U7+1</f>
        <v>23</v>
      </c>
      <c r="V9" s="1033"/>
      <c r="W9" s="1032"/>
      <c r="X9" s="1032"/>
      <c r="Y9" s="1032"/>
      <c r="Z9" s="1032"/>
      <c r="AA9" s="1032"/>
      <c r="AB9" s="1032"/>
      <c r="AC9" s="1032"/>
      <c r="AD9" s="371"/>
    </row>
    <row r="10" spans="1:30" s="374" customFormat="1" ht="18" hidden="1" customHeight="1">
      <c r="A10" s="366"/>
      <c r="B10" s="372" t="s">
        <v>420</v>
      </c>
      <c r="C10" s="373"/>
      <c r="D10" s="373"/>
      <c r="E10" s="373"/>
      <c r="F10" s="373"/>
      <c r="G10" s="373"/>
      <c r="H10" s="373"/>
      <c r="I10" s="373"/>
      <c r="J10" s="373"/>
      <c r="K10" s="373"/>
      <c r="L10" s="373"/>
      <c r="M10" s="373"/>
      <c r="N10" s="373"/>
      <c r="O10" s="373"/>
      <c r="P10" s="373"/>
      <c r="Q10" s="373"/>
      <c r="R10" s="373"/>
      <c r="S10" s="373"/>
      <c r="T10" s="373"/>
      <c r="U10" s="370"/>
      <c r="V10" s="1033"/>
      <c r="W10" s="1032"/>
      <c r="X10" s="1032"/>
      <c r="Y10" s="1032"/>
      <c r="Z10" s="1032"/>
      <c r="AA10" s="1032"/>
      <c r="AB10" s="1032"/>
      <c r="AC10" s="1032"/>
      <c r="AD10" s="371"/>
    </row>
    <row r="11" spans="1:30" s="379" customFormat="1" ht="13.8" hidden="1">
      <c r="A11" s="366">
        <v>24</v>
      </c>
      <c r="B11" s="375"/>
      <c r="C11" s="408" t="s">
        <v>421</v>
      </c>
      <c r="D11" s="397"/>
      <c r="E11" s="397"/>
      <c r="F11" s="397"/>
      <c r="G11" s="397"/>
      <c r="H11" s="397"/>
      <c r="I11" s="397"/>
      <c r="J11" s="397"/>
      <c r="K11" s="397"/>
      <c r="L11" s="397"/>
      <c r="M11" s="397"/>
      <c r="N11" s="397"/>
      <c r="O11" s="397"/>
      <c r="P11" s="378">
        <f t="shared" ref="P11:P16" si="0">D11+E11+F11</f>
        <v>0</v>
      </c>
      <c r="Q11" s="378">
        <f t="shared" ref="Q11:Q16" si="1">G11+H11+I11</f>
        <v>0</v>
      </c>
      <c r="R11" s="378">
        <f t="shared" ref="R11:R16" si="2">J11+K11+L11</f>
        <v>0</v>
      </c>
      <c r="S11" s="378">
        <f t="shared" ref="S11:S16" si="3">M11+N11+O11</f>
        <v>0</v>
      </c>
      <c r="T11" s="378">
        <f t="shared" ref="T11:T16" si="4">SUM(D11:O11)</f>
        <v>0</v>
      </c>
      <c r="U11" s="370">
        <f>U9+1</f>
        <v>24</v>
      </c>
      <c r="V11" s="1033"/>
      <c r="W11" s="1032"/>
      <c r="X11" s="1032"/>
      <c r="Y11" s="1032"/>
      <c r="Z11" s="1032"/>
      <c r="AA11" s="1032"/>
      <c r="AB11" s="1032"/>
      <c r="AC11" s="1032"/>
      <c r="AD11" s="371"/>
    </row>
    <row r="12" spans="1:30" ht="13.8" hidden="1">
      <c r="A12" s="366">
        <v>25</v>
      </c>
      <c r="B12" s="380"/>
      <c r="C12" s="409" t="s">
        <v>1</v>
      </c>
      <c r="D12" s="397"/>
      <c r="E12" s="397"/>
      <c r="F12" s="397"/>
      <c r="G12" s="397"/>
      <c r="H12" s="397"/>
      <c r="I12" s="397"/>
      <c r="J12" s="397"/>
      <c r="K12" s="397"/>
      <c r="L12" s="397"/>
      <c r="M12" s="397"/>
      <c r="N12" s="397"/>
      <c r="O12" s="397"/>
      <c r="P12" s="369">
        <f t="shared" si="0"/>
        <v>0</v>
      </c>
      <c r="Q12" s="369">
        <f t="shared" si="1"/>
        <v>0</v>
      </c>
      <c r="R12" s="369">
        <f t="shared" si="2"/>
        <v>0</v>
      </c>
      <c r="S12" s="369">
        <f t="shared" si="3"/>
        <v>0</v>
      </c>
      <c r="T12" s="369">
        <f t="shared" si="4"/>
        <v>0</v>
      </c>
      <c r="U12" s="370">
        <f>U11+1</f>
        <v>25</v>
      </c>
    </row>
    <row r="13" spans="1:30" ht="13.8" hidden="1">
      <c r="A13" s="366">
        <v>26</v>
      </c>
      <c r="B13" s="380"/>
      <c r="C13" s="409" t="s">
        <v>422</v>
      </c>
      <c r="D13" s="397"/>
      <c r="E13" s="397"/>
      <c r="F13" s="397"/>
      <c r="G13" s="397"/>
      <c r="H13" s="397"/>
      <c r="I13" s="397"/>
      <c r="J13" s="397"/>
      <c r="K13" s="397"/>
      <c r="L13" s="397"/>
      <c r="M13" s="397"/>
      <c r="N13" s="397"/>
      <c r="O13" s="397"/>
      <c r="P13" s="369">
        <f t="shared" si="0"/>
        <v>0</v>
      </c>
      <c r="Q13" s="369">
        <f t="shared" si="1"/>
        <v>0</v>
      </c>
      <c r="R13" s="369">
        <f t="shared" si="2"/>
        <v>0</v>
      </c>
      <c r="S13" s="369">
        <f t="shared" si="3"/>
        <v>0</v>
      </c>
      <c r="T13" s="369">
        <f t="shared" si="4"/>
        <v>0</v>
      </c>
      <c r="U13" s="370">
        <f>U12+1</f>
        <v>26</v>
      </c>
    </row>
    <row r="14" spans="1:30" ht="13.8" hidden="1">
      <c r="A14" s="366">
        <v>27</v>
      </c>
      <c r="B14" s="380"/>
      <c r="C14" s="409" t="s">
        <v>423</v>
      </c>
      <c r="D14" s="397"/>
      <c r="E14" s="397"/>
      <c r="F14" s="397"/>
      <c r="G14" s="397"/>
      <c r="H14" s="397"/>
      <c r="I14" s="397"/>
      <c r="J14" s="397"/>
      <c r="K14" s="397"/>
      <c r="L14" s="397"/>
      <c r="M14" s="397"/>
      <c r="N14" s="397"/>
      <c r="O14" s="397"/>
      <c r="P14" s="369">
        <f t="shared" si="0"/>
        <v>0</v>
      </c>
      <c r="Q14" s="369">
        <f t="shared" si="1"/>
        <v>0</v>
      </c>
      <c r="R14" s="369">
        <f t="shared" si="2"/>
        <v>0</v>
      </c>
      <c r="S14" s="369">
        <f t="shared" si="3"/>
        <v>0</v>
      </c>
      <c r="T14" s="369">
        <f t="shared" si="4"/>
        <v>0</v>
      </c>
      <c r="U14" s="370">
        <f>U13+1</f>
        <v>27</v>
      </c>
    </row>
    <row r="15" spans="1:30" ht="13.8" hidden="1">
      <c r="A15" s="366">
        <v>28</v>
      </c>
      <c r="B15" s="380"/>
      <c r="C15" s="409" t="s">
        <v>424</v>
      </c>
      <c r="D15" s="397"/>
      <c r="E15" s="397"/>
      <c r="F15" s="397"/>
      <c r="G15" s="397"/>
      <c r="H15" s="397"/>
      <c r="I15" s="397"/>
      <c r="J15" s="397"/>
      <c r="K15" s="397"/>
      <c r="L15" s="397"/>
      <c r="M15" s="397"/>
      <c r="N15" s="397"/>
      <c r="O15" s="397"/>
      <c r="P15" s="369">
        <f t="shared" si="0"/>
        <v>0</v>
      </c>
      <c r="Q15" s="369">
        <f t="shared" si="1"/>
        <v>0</v>
      </c>
      <c r="R15" s="369">
        <f t="shared" si="2"/>
        <v>0</v>
      </c>
      <c r="S15" s="369">
        <f t="shared" si="3"/>
        <v>0</v>
      </c>
      <c r="T15" s="369">
        <f t="shared" si="4"/>
        <v>0</v>
      </c>
      <c r="U15" s="370">
        <f>U14+1</f>
        <v>28</v>
      </c>
    </row>
    <row r="16" spans="1:30" s="415" customFormat="1" ht="13.8" hidden="1">
      <c r="A16" s="410"/>
      <c r="B16" s="411"/>
      <c r="C16" s="412" t="s">
        <v>425</v>
      </c>
      <c r="D16" s="413">
        <f t="shared" ref="D16" si="5">SUM(D13:D15)</f>
        <v>0</v>
      </c>
      <c r="E16" s="413">
        <f t="shared" ref="E16:O16" si="6">SUM(E13:E15)</f>
        <v>0</v>
      </c>
      <c r="F16" s="413">
        <f t="shared" si="6"/>
        <v>0</v>
      </c>
      <c r="G16" s="413">
        <f t="shared" si="6"/>
        <v>0</v>
      </c>
      <c r="H16" s="413">
        <f t="shared" si="6"/>
        <v>0</v>
      </c>
      <c r="I16" s="413">
        <f t="shared" si="6"/>
        <v>0</v>
      </c>
      <c r="J16" s="413">
        <f t="shared" si="6"/>
        <v>0</v>
      </c>
      <c r="K16" s="413">
        <f t="shared" si="6"/>
        <v>0</v>
      </c>
      <c r="L16" s="413">
        <f t="shared" si="6"/>
        <v>0</v>
      </c>
      <c r="M16" s="413">
        <f t="shared" si="6"/>
        <v>0</v>
      </c>
      <c r="N16" s="413">
        <f t="shared" si="6"/>
        <v>0</v>
      </c>
      <c r="O16" s="413">
        <f t="shared" si="6"/>
        <v>0</v>
      </c>
      <c r="P16" s="369">
        <f t="shared" si="0"/>
        <v>0</v>
      </c>
      <c r="Q16" s="369">
        <f t="shared" si="1"/>
        <v>0</v>
      </c>
      <c r="R16" s="369">
        <f t="shared" si="2"/>
        <v>0</v>
      </c>
      <c r="S16" s="369">
        <f t="shared" si="3"/>
        <v>0</v>
      </c>
      <c r="T16" s="369">
        <f t="shared" si="4"/>
        <v>0</v>
      </c>
      <c r="U16" s="414"/>
      <c r="AD16" s="371"/>
    </row>
    <row r="17" spans="1:21" s="385" customFormat="1" ht="18" customHeight="1">
      <c r="A17" s="366"/>
      <c r="B17" s="372" t="s">
        <v>426</v>
      </c>
      <c r="C17" s="373"/>
      <c r="D17" s="373"/>
      <c r="E17" s="373"/>
      <c r="F17" s="373"/>
      <c r="G17" s="373"/>
      <c r="H17" s="373"/>
      <c r="I17" s="373"/>
      <c r="J17" s="373"/>
      <c r="K17" s="373"/>
      <c r="L17" s="373"/>
      <c r="M17" s="373"/>
      <c r="N17" s="373"/>
      <c r="O17" s="373"/>
      <c r="P17" s="373"/>
      <c r="Q17" s="373"/>
      <c r="R17" s="373"/>
      <c r="S17" s="373"/>
      <c r="T17" s="373"/>
      <c r="U17" s="370"/>
    </row>
    <row r="18" spans="1:21" s="379" customFormat="1" ht="13.8">
      <c r="A18" s="366">
        <v>29</v>
      </c>
      <c r="B18" s="375"/>
      <c r="C18" s="408" t="s">
        <v>421</v>
      </c>
      <c r="D18" s="399">
        <f>'OpStatsTotals(DR)'!C7</f>
        <v>6063.57</v>
      </c>
      <c r="E18" s="399">
        <f>'OpStatsTotals(DR)'!D7</f>
        <v>6048.92</v>
      </c>
      <c r="F18" s="399">
        <f>'OpStatsTotals(DR)'!E7</f>
        <v>5448.66</v>
      </c>
      <c r="G18" s="399">
        <f>'OpStatsTotals(DR)'!F7</f>
        <v>6216.9800000000005</v>
      </c>
      <c r="H18" s="399">
        <f>'OpStatsTotals(DR)'!G7</f>
        <v>5129.3</v>
      </c>
      <c r="I18" s="399">
        <f>'OpStatsTotals(DR)'!H7</f>
        <v>5175.4299999999994</v>
      </c>
      <c r="J18" s="399">
        <f>'OpStatsTotals(DR)'!I7</f>
        <v>0</v>
      </c>
      <c r="K18" s="399">
        <f>'OpStatsTotals(DR)'!J7</f>
        <v>0</v>
      </c>
      <c r="L18" s="399">
        <f>'OpStatsTotals(DR)'!K7</f>
        <v>0</v>
      </c>
      <c r="M18" s="399">
        <f>'OpStatsTotals(DR)'!L7</f>
        <v>0</v>
      </c>
      <c r="N18" s="399">
        <f>'OpStatsTotals(DR)'!M7</f>
        <v>0</v>
      </c>
      <c r="O18" s="399">
        <f>'OpStatsTotals(DR)'!N7</f>
        <v>0</v>
      </c>
      <c r="P18" s="378">
        <f t="shared" ref="P18:P23" si="7">D18+E18+F18</f>
        <v>17561.150000000001</v>
      </c>
      <c r="Q18" s="378">
        <f t="shared" ref="Q18:Q23" si="8">G18+H18+I18</f>
        <v>16521.71</v>
      </c>
      <c r="R18" s="378">
        <f t="shared" ref="R18:R23" si="9">J18+K18+L18</f>
        <v>0</v>
      </c>
      <c r="S18" s="378">
        <f t="shared" ref="S18:S23" si="10">M18+N18+O18</f>
        <v>0</v>
      </c>
      <c r="T18" s="378">
        <f t="shared" ref="T18:T23" si="11">SUM(D18:O18)</f>
        <v>34082.86</v>
      </c>
      <c r="U18" s="370">
        <f>U15+1</f>
        <v>29</v>
      </c>
    </row>
    <row r="19" spans="1:21" ht="13.8">
      <c r="A19" s="366">
        <v>30</v>
      </c>
      <c r="B19" s="380"/>
      <c r="C19" s="409" t="s">
        <v>1</v>
      </c>
      <c r="D19" s="399">
        <f>'OpStatsTotals(DR)'!C10</f>
        <v>102317</v>
      </c>
      <c r="E19" s="399">
        <f>'OpStatsTotals(DR)'!D10</f>
        <v>103771</v>
      </c>
      <c r="F19" s="399">
        <f>'OpStatsTotals(DR)'!E10</f>
        <v>95093</v>
      </c>
      <c r="G19" s="399">
        <f>'OpStatsTotals(DR)'!F10</f>
        <v>109560</v>
      </c>
      <c r="H19" s="399">
        <f>'OpStatsTotals(DR)'!G10</f>
        <v>87343</v>
      </c>
      <c r="I19" s="399">
        <f>'OpStatsTotals(DR)'!H10</f>
        <v>88490</v>
      </c>
      <c r="J19" s="399">
        <f>'OpStatsTotals(DR)'!I10</f>
        <v>0</v>
      </c>
      <c r="K19" s="399">
        <f>'OpStatsTotals(DR)'!J10</f>
        <v>0</v>
      </c>
      <c r="L19" s="399">
        <f>'OpStatsTotals(DR)'!K10</f>
        <v>0</v>
      </c>
      <c r="M19" s="399">
        <f>'OpStatsTotals(DR)'!L10</f>
        <v>0</v>
      </c>
      <c r="N19" s="399">
        <f>'OpStatsTotals(DR)'!M10</f>
        <v>0</v>
      </c>
      <c r="O19" s="399">
        <f>'OpStatsTotals(DR)'!N10</f>
        <v>0</v>
      </c>
      <c r="P19" s="369">
        <f t="shared" si="7"/>
        <v>301181</v>
      </c>
      <c r="Q19" s="369">
        <f t="shared" si="8"/>
        <v>285393</v>
      </c>
      <c r="R19" s="369">
        <f t="shared" si="9"/>
        <v>0</v>
      </c>
      <c r="S19" s="369">
        <f t="shared" si="10"/>
        <v>0</v>
      </c>
      <c r="T19" s="369">
        <f t="shared" si="11"/>
        <v>586574</v>
      </c>
      <c r="U19" s="370">
        <f>U18+1</f>
        <v>30</v>
      </c>
    </row>
    <row r="20" spans="1:21" ht="13.8">
      <c r="A20" s="366">
        <v>31</v>
      </c>
      <c r="B20" s="380"/>
      <c r="C20" s="409" t="s">
        <v>422</v>
      </c>
      <c r="D20" s="399">
        <f>'OpStatsTotals(DR)'!C22</f>
        <v>4155</v>
      </c>
      <c r="E20" s="399">
        <f>'OpStatsTotals(DR)'!D22</f>
        <v>4003</v>
      </c>
      <c r="F20" s="399">
        <f>'OpStatsTotals(DR)'!E22</f>
        <v>3822</v>
      </c>
      <c r="G20" s="399">
        <f>'OpStatsTotals(DR)'!F22</f>
        <v>4353</v>
      </c>
      <c r="H20" s="399">
        <f>'OpStatsTotals(DR)'!G22</f>
        <v>3457</v>
      </c>
      <c r="I20" s="399">
        <f>'OpStatsTotals(DR)'!H22</f>
        <v>3665</v>
      </c>
      <c r="J20" s="399">
        <f>'OpStatsTotals(DR)'!I22</f>
        <v>0</v>
      </c>
      <c r="K20" s="399">
        <f>'OpStatsTotals(DR)'!J22</f>
        <v>0</v>
      </c>
      <c r="L20" s="399">
        <f>'OpStatsTotals(DR)'!K22</f>
        <v>0</v>
      </c>
      <c r="M20" s="399">
        <f>'OpStatsTotals(DR)'!L22</f>
        <v>0</v>
      </c>
      <c r="N20" s="399">
        <f>'OpStatsTotals(DR)'!M22</f>
        <v>0</v>
      </c>
      <c r="O20" s="399">
        <f>'OpStatsTotals(DR)'!N22</f>
        <v>0</v>
      </c>
      <c r="P20" s="369">
        <f t="shared" si="7"/>
        <v>11980</v>
      </c>
      <c r="Q20" s="369">
        <f t="shared" si="8"/>
        <v>11475</v>
      </c>
      <c r="R20" s="369">
        <f t="shared" si="9"/>
        <v>0</v>
      </c>
      <c r="S20" s="369">
        <f t="shared" si="10"/>
        <v>0</v>
      </c>
      <c r="T20" s="369">
        <f t="shared" si="11"/>
        <v>23455</v>
      </c>
      <c r="U20" s="370">
        <f>U19+1</f>
        <v>31</v>
      </c>
    </row>
    <row r="21" spans="1:21" ht="13.8">
      <c r="A21" s="366">
        <v>32</v>
      </c>
      <c r="B21" s="380"/>
      <c r="C21" s="409" t="s">
        <v>423</v>
      </c>
      <c r="D21" s="399">
        <f>'OpStatsTotals(DR)'!C23</f>
        <v>422</v>
      </c>
      <c r="E21" s="399">
        <f>'OpStatsTotals(DR)'!D23</f>
        <v>806</v>
      </c>
      <c r="F21" s="399">
        <f>'OpStatsTotals(DR)'!E23</f>
        <v>532</v>
      </c>
      <c r="G21" s="399">
        <f>'OpStatsTotals(DR)'!F23</f>
        <v>977</v>
      </c>
      <c r="H21" s="399">
        <f>'OpStatsTotals(DR)'!G23</f>
        <v>740</v>
      </c>
      <c r="I21" s="399">
        <f>'OpStatsTotals(DR)'!H23</f>
        <v>549</v>
      </c>
      <c r="J21" s="399">
        <f>'OpStatsTotals(DR)'!I23</f>
        <v>0</v>
      </c>
      <c r="K21" s="399">
        <f>'OpStatsTotals(DR)'!J23</f>
        <v>0</v>
      </c>
      <c r="L21" s="399">
        <f>'OpStatsTotals(DR)'!K23</f>
        <v>0</v>
      </c>
      <c r="M21" s="399">
        <f>'OpStatsTotals(DR)'!L23</f>
        <v>0</v>
      </c>
      <c r="N21" s="399">
        <f>'OpStatsTotals(DR)'!M23</f>
        <v>0</v>
      </c>
      <c r="O21" s="399">
        <f>'OpStatsTotals(DR)'!N23</f>
        <v>0</v>
      </c>
      <c r="P21" s="369">
        <f t="shared" si="7"/>
        <v>1760</v>
      </c>
      <c r="Q21" s="369">
        <f t="shared" si="8"/>
        <v>2266</v>
      </c>
      <c r="R21" s="369">
        <f t="shared" si="9"/>
        <v>0</v>
      </c>
      <c r="S21" s="369">
        <f t="shared" si="10"/>
        <v>0</v>
      </c>
      <c r="T21" s="369">
        <f t="shared" si="11"/>
        <v>4026</v>
      </c>
      <c r="U21" s="370">
        <f>U20+1</f>
        <v>32</v>
      </c>
    </row>
    <row r="22" spans="1:21" ht="13.8">
      <c r="A22" s="366">
        <v>33</v>
      </c>
      <c r="B22" s="380"/>
      <c r="C22" s="409" t="s">
        <v>424</v>
      </c>
      <c r="D22" s="399">
        <f>'OpStatsTotals(DR)'!C24</f>
        <v>5288</v>
      </c>
      <c r="E22" s="399">
        <f>'OpStatsTotals(DR)'!D24</f>
        <v>5407</v>
      </c>
      <c r="F22" s="399">
        <f>'OpStatsTotals(DR)'!E24</f>
        <v>5183</v>
      </c>
      <c r="G22" s="399">
        <f>'OpStatsTotals(DR)'!F24</f>
        <v>5779</v>
      </c>
      <c r="H22" s="399">
        <f>'OpStatsTotals(DR)'!G24</f>
        <v>4558</v>
      </c>
      <c r="I22" s="399">
        <f>'OpStatsTotals(DR)'!H24</f>
        <v>4801.2060000000001</v>
      </c>
      <c r="J22" s="399">
        <f>'OpStatsTotals(DR)'!I24</f>
        <v>0</v>
      </c>
      <c r="K22" s="399">
        <f>'OpStatsTotals(DR)'!J24</f>
        <v>0</v>
      </c>
      <c r="L22" s="399">
        <f>'OpStatsTotals(DR)'!K24</f>
        <v>0</v>
      </c>
      <c r="M22" s="399">
        <f>'OpStatsTotals(DR)'!L24</f>
        <v>0</v>
      </c>
      <c r="N22" s="399">
        <f>'OpStatsTotals(DR)'!M24</f>
        <v>0</v>
      </c>
      <c r="O22" s="399">
        <f>'OpStatsTotals(DR)'!N24</f>
        <v>0</v>
      </c>
      <c r="P22" s="369">
        <f t="shared" si="7"/>
        <v>15878</v>
      </c>
      <c r="Q22" s="369">
        <f t="shared" si="8"/>
        <v>15138.206</v>
      </c>
      <c r="R22" s="369">
        <f t="shared" si="9"/>
        <v>0</v>
      </c>
      <c r="S22" s="369">
        <f t="shared" si="10"/>
        <v>0</v>
      </c>
      <c r="T22" s="369">
        <f t="shared" si="11"/>
        <v>31016.205999999998</v>
      </c>
      <c r="U22" s="370">
        <f>U21+1</f>
        <v>33</v>
      </c>
    </row>
    <row r="23" spans="1:21" s="415" customFormat="1" ht="13.8">
      <c r="A23" s="410"/>
      <c r="B23" s="411"/>
      <c r="C23" s="412" t="s">
        <v>425</v>
      </c>
      <c r="D23" s="413">
        <f>SUM(D20:D22)</f>
        <v>9865</v>
      </c>
      <c r="E23" s="413">
        <f t="shared" ref="E23:O23" si="12">SUM(E20:E22)</f>
        <v>10216</v>
      </c>
      <c r="F23" s="413">
        <f t="shared" si="12"/>
        <v>9537</v>
      </c>
      <c r="G23" s="413">
        <f t="shared" si="12"/>
        <v>11109</v>
      </c>
      <c r="H23" s="413">
        <f t="shared" si="12"/>
        <v>8755</v>
      </c>
      <c r="I23" s="413">
        <f t="shared" si="12"/>
        <v>9015.2060000000001</v>
      </c>
      <c r="J23" s="413">
        <f t="shared" si="12"/>
        <v>0</v>
      </c>
      <c r="K23" s="413">
        <f t="shared" si="12"/>
        <v>0</v>
      </c>
      <c r="L23" s="413">
        <f t="shared" si="12"/>
        <v>0</v>
      </c>
      <c r="M23" s="413">
        <f t="shared" si="12"/>
        <v>0</v>
      </c>
      <c r="N23" s="413">
        <f t="shared" si="12"/>
        <v>0</v>
      </c>
      <c r="O23" s="413">
        <f t="shared" si="12"/>
        <v>0</v>
      </c>
      <c r="P23" s="369">
        <f t="shared" si="7"/>
        <v>29618</v>
      </c>
      <c r="Q23" s="369">
        <f t="shared" si="8"/>
        <v>28879.205999999998</v>
      </c>
      <c r="R23" s="369">
        <f t="shared" si="9"/>
        <v>0</v>
      </c>
      <c r="S23" s="369">
        <f t="shared" si="10"/>
        <v>0</v>
      </c>
      <c r="T23" s="369">
        <f t="shared" si="11"/>
        <v>58497.205999999998</v>
      </c>
      <c r="U23" s="414"/>
    </row>
    <row r="24" spans="1:21" ht="18" hidden="1" customHeight="1">
      <c r="A24" s="366"/>
      <c r="B24" s="372" t="s">
        <v>427</v>
      </c>
      <c r="C24" s="386"/>
      <c r="D24" s="416"/>
      <c r="E24" s="416"/>
      <c r="F24" s="416"/>
      <c r="G24" s="416"/>
      <c r="H24" s="416"/>
      <c r="I24" s="416"/>
      <c r="J24" s="416"/>
      <c r="K24" s="416"/>
      <c r="L24" s="416"/>
      <c r="M24" s="416"/>
      <c r="N24" s="416"/>
      <c r="O24" s="416"/>
      <c r="P24" s="416"/>
      <c r="Q24" s="416"/>
      <c r="R24" s="416"/>
      <c r="S24" s="416"/>
      <c r="T24" s="416"/>
      <c r="U24" s="370"/>
    </row>
    <row r="25" spans="1:21" s="379" customFormat="1" ht="13.8" hidden="1">
      <c r="A25" s="366">
        <v>34</v>
      </c>
      <c r="B25" s="375"/>
      <c r="C25" s="408" t="s">
        <v>421</v>
      </c>
      <c r="D25" s="397"/>
      <c r="E25" s="397"/>
      <c r="F25" s="397"/>
      <c r="G25" s="397"/>
      <c r="H25" s="397"/>
      <c r="I25" s="397"/>
      <c r="J25" s="397"/>
      <c r="K25" s="397"/>
      <c r="L25" s="397"/>
      <c r="M25" s="397"/>
      <c r="N25" s="397"/>
      <c r="O25" s="397"/>
      <c r="P25" s="378">
        <f t="shared" ref="P25:P30" si="13">D25+E25+F25</f>
        <v>0</v>
      </c>
      <c r="Q25" s="378">
        <f t="shared" ref="Q25:Q30" si="14">G25+H25+I25</f>
        <v>0</v>
      </c>
      <c r="R25" s="378">
        <f t="shared" ref="R25:R30" si="15">J25+K25+L25</f>
        <v>0</v>
      </c>
      <c r="S25" s="378">
        <f t="shared" ref="S25:S30" si="16">M25+N25+O25</f>
        <v>0</v>
      </c>
      <c r="T25" s="378">
        <f t="shared" ref="T25:T30" si="17">SUM(D25:O25)</f>
        <v>0</v>
      </c>
      <c r="U25" s="370">
        <f>U22+1</f>
        <v>34</v>
      </c>
    </row>
    <row r="26" spans="1:21" ht="13.8" hidden="1">
      <c r="A26" s="366">
        <v>35</v>
      </c>
      <c r="B26" s="380"/>
      <c r="C26" s="409" t="s">
        <v>1</v>
      </c>
      <c r="D26" s="397"/>
      <c r="E26" s="397"/>
      <c r="F26" s="397"/>
      <c r="G26" s="397"/>
      <c r="H26" s="397"/>
      <c r="I26" s="397"/>
      <c r="J26" s="397"/>
      <c r="K26" s="397"/>
      <c r="L26" s="397"/>
      <c r="M26" s="397"/>
      <c r="N26" s="397"/>
      <c r="O26" s="397"/>
      <c r="P26" s="369">
        <f>D26+E26+F26</f>
        <v>0</v>
      </c>
      <c r="Q26" s="369">
        <f>G26+H26+I26</f>
        <v>0</v>
      </c>
      <c r="R26" s="369">
        <f>J26+K26+L26</f>
        <v>0</v>
      </c>
      <c r="S26" s="369">
        <f>M26+N26+O26</f>
        <v>0</v>
      </c>
      <c r="T26" s="369">
        <f>SUM(D26:O26)</f>
        <v>0</v>
      </c>
      <c r="U26" s="370">
        <f>U25+1</f>
        <v>35</v>
      </c>
    </row>
    <row r="27" spans="1:21" ht="13.8" hidden="1">
      <c r="A27" s="366">
        <v>36</v>
      </c>
      <c r="B27" s="380"/>
      <c r="C27" s="409" t="s">
        <v>422</v>
      </c>
      <c r="D27" s="397"/>
      <c r="E27" s="397"/>
      <c r="F27" s="397"/>
      <c r="G27" s="397"/>
      <c r="H27" s="397"/>
      <c r="I27" s="397"/>
      <c r="J27" s="397"/>
      <c r="K27" s="397"/>
      <c r="L27" s="397"/>
      <c r="M27" s="397"/>
      <c r="N27" s="397"/>
      <c r="O27" s="397"/>
      <c r="P27" s="369">
        <f>D27+E27+F27</f>
        <v>0</v>
      </c>
      <c r="Q27" s="369">
        <f>G27+H27+I27</f>
        <v>0</v>
      </c>
      <c r="R27" s="369">
        <f>J27+K27+L27</f>
        <v>0</v>
      </c>
      <c r="S27" s="369">
        <f>M27+N27+O27</f>
        <v>0</v>
      </c>
      <c r="T27" s="369">
        <f>SUM(D27:O27)</f>
        <v>0</v>
      </c>
      <c r="U27" s="370">
        <f>U26+1</f>
        <v>36</v>
      </c>
    </row>
    <row r="28" spans="1:21" ht="13.8" hidden="1">
      <c r="A28" s="366">
        <v>37</v>
      </c>
      <c r="B28" s="380"/>
      <c r="C28" s="409" t="s">
        <v>423</v>
      </c>
      <c r="D28" s="397"/>
      <c r="E28" s="397"/>
      <c r="F28" s="397"/>
      <c r="G28" s="397"/>
      <c r="H28" s="397"/>
      <c r="I28" s="397"/>
      <c r="J28" s="397"/>
      <c r="K28" s="397"/>
      <c r="L28" s="397"/>
      <c r="M28" s="397"/>
      <c r="N28" s="397"/>
      <c r="O28" s="397"/>
      <c r="P28" s="369">
        <f t="shared" si="13"/>
        <v>0</v>
      </c>
      <c r="Q28" s="369">
        <f t="shared" si="14"/>
        <v>0</v>
      </c>
      <c r="R28" s="369">
        <f t="shared" si="15"/>
        <v>0</v>
      </c>
      <c r="S28" s="369">
        <f t="shared" si="16"/>
        <v>0</v>
      </c>
      <c r="T28" s="369">
        <f t="shared" si="17"/>
        <v>0</v>
      </c>
      <c r="U28" s="370">
        <f>U27+1</f>
        <v>37</v>
      </c>
    </row>
    <row r="29" spans="1:21" ht="13.8" hidden="1">
      <c r="A29" s="366">
        <v>38</v>
      </c>
      <c r="B29" s="380"/>
      <c r="C29" s="409" t="s">
        <v>424</v>
      </c>
      <c r="D29" s="397"/>
      <c r="E29" s="397"/>
      <c r="F29" s="397"/>
      <c r="G29" s="397"/>
      <c r="H29" s="397"/>
      <c r="I29" s="397"/>
      <c r="J29" s="397"/>
      <c r="K29" s="397"/>
      <c r="L29" s="397"/>
      <c r="M29" s="397"/>
      <c r="N29" s="397"/>
      <c r="O29" s="397"/>
      <c r="P29" s="369">
        <f t="shared" si="13"/>
        <v>0</v>
      </c>
      <c r="Q29" s="369">
        <f t="shared" si="14"/>
        <v>0</v>
      </c>
      <c r="R29" s="369">
        <f t="shared" si="15"/>
        <v>0</v>
      </c>
      <c r="S29" s="369">
        <f t="shared" si="16"/>
        <v>0</v>
      </c>
      <c r="T29" s="369">
        <f t="shared" si="17"/>
        <v>0</v>
      </c>
      <c r="U29" s="370">
        <f>U28+1</f>
        <v>38</v>
      </c>
    </row>
    <row r="30" spans="1:21" s="415" customFormat="1" ht="13.8" hidden="1">
      <c r="A30" s="410"/>
      <c r="B30" s="417"/>
      <c r="C30" s="412" t="s">
        <v>425</v>
      </c>
      <c r="D30" s="413">
        <f t="shared" ref="D30" si="18">SUM(D27:D29)</f>
        <v>0</v>
      </c>
      <c r="E30" s="413">
        <f t="shared" ref="E30:O30" si="19">SUM(E27:E29)</f>
        <v>0</v>
      </c>
      <c r="F30" s="413">
        <f t="shared" si="19"/>
        <v>0</v>
      </c>
      <c r="G30" s="413">
        <f t="shared" si="19"/>
        <v>0</v>
      </c>
      <c r="H30" s="413">
        <f t="shared" si="19"/>
        <v>0</v>
      </c>
      <c r="I30" s="413">
        <f t="shared" si="19"/>
        <v>0</v>
      </c>
      <c r="J30" s="413">
        <f t="shared" si="19"/>
        <v>0</v>
      </c>
      <c r="K30" s="413">
        <f t="shared" si="19"/>
        <v>0</v>
      </c>
      <c r="L30" s="413">
        <f t="shared" si="19"/>
        <v>0</v>
      </c>
      <c r="M30" s="413">
        <f t="shared" si="19"/>
        <v>0</v>
      </c>
      <c r="N30" s="413">
        <f t="shared" si="19"/>
        <v>0</v>
      </c>
      <c r="O30" s="413">
        <f t="shared" si="19"/>
        <v>0</v>
      </c>
      <c r="P30" s="369">
        <f t="shared" si="13"/>
        <v>0</v>
      </c>
      <c r="Q30" s="369">
        <f t="shared" si="14"/>
        <v>0</v>
      </c>
      <c r="R30" s="369">
        <f t="shared" si="15"/>
        <v>0</v>
      </c>
      <c r="S30" s="369">
        <f t="shared" si="16"/>
        <v>0</v>
      </c>
      <c r="T30" s="369">
        <f t="shared" si="17"/>
        <v>0</v>
      </c>
      <c r="U30" s="414"/>
    </row>
    <row r="31" spans="1:21" ht="18" customHeight="1">
      <c r="A31" s="366"/>
      <c r="B31" s="372" t="s">
        <v>428</v>
      </c>
      <c r="C31" s="373"/>
      <c r="D31" s="416"/>
      <c r="E31" s="416"/>
      <c r="F31" s="416"/>
      <c r="G31" s="416"/>
      <c r="H31" s="416"/>
      <c r="I31" s="416"/>
      <c r="J31" s="416"/>
      <c r="K31" s="416"/>
      <c r="L31" s="416"/>
      <c r="M31" s="416"/>
      <c r="N31" s="416"/>
      <c r="O31" s="416"/>
      <c r="P31" s="416"/>
      <c r="Q31" s="416"/>
      <c r="R31" s="416"/>
      <c r="S31" s="416"/>
      <c r="T31" s="416"/>
      <c r="U31" s="370"/>
    </row>
    <row r="32" spans="1:21" ht="13.8">
      <c r="A32" s="366">
        <v>39</v>
      </c>
      <c r="B32" s="375"/>
      <c r="C32" s="408" t="s">
        <v>421</v>
      </c>
      <c r="D32" s="399">
        <f>'OpStatsTotals(MBTrailblazers)'!C45</f>
        <v>622</v>
      </c>
      <c r="E32" s="399">
        <f>'OpStatsTotals(MBTrailblazers)'!D45</f>
        <v>621</v>
      </c>
      <c r="F32" s="399">
        <f>'OpStatsTotals(MBTrailblazers)'!E45</f>
        <v>565</v>
      </c>
      <c r="G32" s="399">
        <f>'OpStatsTotals(MBTrailblazers)'!F45</f>
        <v>649</v>
      </c>
      <c r="H32" s="399">
        <f>'OpStatsTotals(MBTrailblazers)'!G45</f>
        <v>562</v>
      </c>
      <c r="I32" s="399">
        <f>'OpStatsTotals(MBTrailblazers)'!H45</f>
        <v>591</v>
      </c>
      <c r="J32" s="399">
        <f>'OpStatsTotals(MBTrailblazers)'!I45</f>
        <v>0</v>
      </c>
      <c r="K32" s="399">
        <f>'OpStatsTotals(MBTrailblazers)'!J45</f>
        <v>0</v>
      </c>
      <c r="L32" s="399">
        <f>'OpStatsTotals(MBTrailblazers)'!K45</f>
        <v>0</v>
      </c>
      <c r="M32" s="399">
        <f>'OpStatsTotals(MBTrailblazers)'!L45</f>
        <v>0</v>
      </c>
      <c r="N32" s="399">
        <f>'OpStatsTotals(MBTrailblazers)'!M45</f>
        <v>0</v>
      </c>
      <c r="O32" s="399">
        <f>'OpStatsTotals(MBTrailblazers)'!N45</f>
        <v>0</v>
      </c>
      <c r="P32" s="369">
        <f t="shared" ref="P32:P37" si="20">D32+E32+F32</f>
        <v>1808</v>
      </c>
      <c r="Q32" s="369">
        <f t="shared" ref="Q32:Q37" si="21">G32+H32+I32</f>
        <v>1802</v>
      </c>
      <c r="R32" s="369">
        <f t="shared" ref="R32:R37" si="22">J32+K32+L32</f>
        <v>0</v>
      </c>
      <c r="S32" s="369">
        <f t="shared" ref="S32:S37" si="23">M32+N32+O32</f>
        <v>0</v>
      </c>
      <c r="T32" s="369">
        <f t="shared" ref="T32:T37" si="24">SUM(D32:O32)</f>
        <v>3610</v>
      </c>
      <c r="U32" s="370">
        <f>U29+1</f>
        <v>39</v>
      </c>
    </row>
    <row r="33" spans="1:31" ht="13.8">
      <c r="A33" s="366">
        <v>40</v>
      </c>
      <c r="B33" s="380"/>
      <c r="C33" s="409" t="s">
        <v>1</v>
      </c>
      <c r="D33" s="399">
        <f>'OpStatsTotals(MBTrailblazers)'!C49</f>
        <v>11231</v>
      </c>
      <c r="E33" s="399">
        <f>'OpStatsTotals(MBTrailblazers)'!D49</f>
        <v>11318</v>
      </c>
      <c r="F33" s="399">
        <f>'OpStatsTotals(MBTrailblazers)'!E49</f>
        <v>10324</v>
      </c>
      <c r="G33" s="399">
        <f>'OpStatsTotals(MBTrailblazers)'!F49</f>
        <v>11954</v>
      </c>
      <c r="H33" s="399">
        <f>'OpStatsTotals(MBTrailblazers)'!G49</f>
        <v>10299</v>
      </c>
      <c r="I33" s="399">
        <f>'OpStatsTotals(MBTrailblazers)'!H49</f>
        <v>10790</v>
      </c>
      <c r="J33" s="399">
        <f>'OpStatsTotals(MBTrailblazers)'!I49</f>
        <v>0</v>
      </c>
      <c r="K33" s="399">
        <f>'OpStatsTotals(MBTrailblazers)'!J49</f>
        <v>0</v>
      </c>
      <c r="L33" s="399">
        <f>'OpStatsTotals(MBTrailblazers)'!K49</f>
        <v>0</v>
      </c>
      <c r="M33" s="399">
        <f>'OpStatsTotals(MBTrailblazers)'!L49</f>
        <v>0</v>
      </c>
      <c r="N33" s="399">
        <f>'OpStatsTotals(MBTrailblazers)'!M49</f>
        <v>0</v>
      </c>
      <c r="O33" s="399">
        <f>'OpStatsTotals(MBTrailblazers)'!N49</f>
        <v>0</v>
      </c>
      <c r="P33" s="369">
        <f t="shared" si="20"/>
        <v>32873</v>
      </c>
      <c r="Q33" s="369">
        <f t="shared" si="21"/>
        <v>33043</v>
      </c>
      <c r="R33" s="369">
        <f t="shared" si="22"/>
        <v>0</v>
      </c>
      <c r="S33" s="369">
        <f t="shared" si="23"/>
        <v>0</v>
      </c>
      <c r="T33" s="369">
        <f t="shared" si="24"/>
        <v>65916</v>
      </c>
      <c r="U33" s="370">
        <f>U32+1</f>
        <v>40</v>
      </c>
    </row>
    <row r="34" spans="1:31" ht="13.8">
      <c r="A34" s="366">
        <v>41</v>
      </c>
      <c r="B34" s="380"/>
      <c r="C34" s="409" t="s">
        <v>422</v>
      </c>
      <c r="D34" s="399">
        <f>'OpStatsTotals(MBTrailblazers)'!C57</f>
        <v>3040</v>
      </c>
      <c r="E34" s="399">
        <f>'OpStatsTotals(MBTrailblazers)'!D57</f>
        <v>3148</v>
      </c>
      <c r="F34" s="399">
        <f>'OpStatsTotals(MBTrailblazers)'!E57</f>
        <v>2682</v>
      </c>
      <c r="G34" s="399">
        <f>'OpStatsTotals(MBTrailblazers)'!F57</f>
        <v>3099</v>
      </c>
      <c r="H34" s="399">
        <f>'OpStatsTotals(MBTrailblazers)'!G57</f>
        <v>2698</v>
      </c>
      <c r="I34" s="399">
        <f>'OpStatsTotals(MBTrailblazers)'!H57</f>
        <v>2441</v>
      </c>
      <c r="J34" s="399">
        <f>'OpStatsTotals(MBTrailblazers)'!I57</f>
        <v>0</v>
      </c>
      <c r="K34" s="399">
        <f>'OpStatsTotals(MBTrailblazers)'!J57</f>
        <v>0</v>
      </c>
      <c r="L34" s="399">
        <f>'OpStatsTotals(MBTrailblazers)'!K57</f>
        <v>0</v>
      </c>
      <c r="M34" s="399">
        <f>'OpStatsTotals(MBTrailblazers)'!L57</f>
        <v>0</v>
      </c>
      <c r="N34" s="399">
        <f>'OpStatsTotals(MBTrailblazers)'!M57</f>
        <v>0</v>
      </c>
      <c r="O34" s="399">
        <f>'OpStatsTotals(MBTrailblazers)'!N57</f>
        <v>0</v>
      </c>
      <c r="P34" s="369">
        <f t="shared" si="20"/>
        <v>8870</v>
      </c>
      <c r="Q34" s="369">
        <f t="shared" si="21"/>
        <v>8238</v>
      </c>
      <c r="R34" s="369">
        <f t="shared" si="22"/>
        <v>0</v>
      </c>
      <c r="S34" s="369">
        <f t="shared" si="23"/>
        <v>0</v>
      </c>
      <c r="T34" s="369">
        <f t="shared" si="24"/>
        <v>17108</v>
      </c>
      <c r="U34" s="370">
        <f>U33+1</f>
        <v>41</v>
      </c>
    </row>
    <row r="35" spans="1:31" ht="13.8">
      <c r="A35" s="366">
        <v>42</v>
      </c>
      <c r="B35" s="380"/>
      <c r="C35" s="409" t="s">
        <v>423</v>
      </c>
      <c r="D35" s="396"/>
      <c r="E35" s="396"/>
      <c r="F35" s="396"/>
      <c r="G35" s="396"/>
      <c r="H35" s="396"/>
      <c r="I35" s="396"/>
      <c r="J35" s="396"/>
      <c r="K35" s="396"/>
      <c r="L35" s="396"/>
      <c r="M35" s="396"/>
      <c r="N35" s="396"/>
      <c r="O35" s="396"/>
      <c r="P35" s="369">
        <f t="shared" si="20"/>
        <v>0</v>
      </c>
      <c r="Q35" s="369">
        <f t="shared" si="21"/>
        <v>0</v>
      </c>
      <c r="R35" s="369">
        <f t="shared" si="22"/>
        <v>0</v>
      </c>
      <c r="S35" s="369">
        <f t="shared" si="23"/>
        <v>0</v>
      </c>
      <c r="T35" s="369">
        <f t="shared" si="24"/>
        <v>0</v>
      </c>
      <c r="U35" s="370">
        <f t="shared" ref="U35" si="25">U34+1</f>
        <v>42</v>
      </c>
    </row>
    <row r="36" spans="1:31" ht="13.8">
      <c r="A36" s="366">
        <v>43</v>
      </c>
      <c r="B36" s="380"/>
      <c r="C36" s="409" t="s">
        <v>424</v>
      </c>
      <c r="D36" s="396"/>
      <c r="E36" s="396"/>
      <c r="F36" s="396"/>
      <c r="G36" s="396"/>
      <c r="H36" s="396"/>
      <c r="I36" s="396"/>
      <c r="J36" s="396"/>
      <c r="K36" s="396"/>
      <c r="L36" s="396"/>
      <c r="M36" s="396"/>
      <c r="N36" s="396"/>
      <c r="O36" s="396"/>
      <c r="P36" s="369">
        <f t="shared" si="20"/>
        <v>0</v>
      </c>
      <c r="Q36" s="369">
        <f t="shared" si="21"/>
        <v>0</v>
      </c>
      <c r="R36" s="369">
        <f t="shared" si="22"/>
        <v>0</v>
      </c>
      <c r="S36" s="369">
        <f t="shared" si="23"/>
        <v>0</v>
      </c>
      <c r="T36" s="369">
        <f t="shared" si="24"/>
        <v>0</v>
      </c>
      <c r="U36" s="370">
        <f>U35+1</f>
        <v>43</v>
      </c>
    </row>
    <row r="37" spans="1:31" s="415" customFormat="1" ht="13.8">
      <c r="A37" s="366"/>
      <c r="B37" s="382"/>
      <c r="C37" s="412" t="s">
        <v>429</v>
      </c>
      <c r="D37" s="418">
        <f>SUM(D34:D36)</f>
        <v>3040</v>
      </c>
      <c r="E37" s="418">
        <f t="shared" ref="E37:O37" si="26">SUM(E34:E36)</f>
        <v>3148</v>
      </c>
      <c r="F37" s="418">
        <f t="shared" si="26"/>
        <v>2682</v>
      </c>
      <c r="G37" s="418">
        <f t="shared" si="26"/>
        <v>3099</v>
      </c>
      <c r="H37" s="418">
        <f t="shared" si="26"/>
        <v>2698</v>
      </c>
      <c r="I37" s="418">
        <f t="shared" si="26"/>
        <v>2441</v>
      </c>
      <c r="J37" s="418">
        <f t="shared" si="26"/>
        <v>0</v>
      </c>
      <c r="K37" s="418">
        <f t="shared" si="26"/>
        <v>0</v>
      </c>
      <c r="L37" s="418">
        <f t="shared" si="26"/>
        <v>0</v>
      </c>
      <c r="M37" s="418">
        <f t="shared" si="26"/>
        <v>0</v>
      </c>
      <c r="N37" s="418">
        <f t="shared" si="26"/>
        <v>0</v>
      </c>
      <c r="O37" s="418">
        <f t="shared" si="26"/>
        <v>0</v>
      </c>
      <c r="P37" s="369">
        <f t="shared" si="20"/>
        <v>8870</v>
      </c>
      <c r="Q37" s="369">
        <f t="shared" si="21"/>
        <v>8238</v>
      </c>
      <c r="R37" s="369">
        <f t="shared" si="22"/>
        <v>0</v>
      </c>
      <c r="S37" s="369">
        <f t="shared" si="23"/>
        <v>0</v>
      </c>
      <c r="T37" s="369">
        <f t="shared" si="24"/>
        <v>17108</v>
      </c>
      <c r="U37" s="360"/>
    </row>
    <row r="38" spans="1:31" ht="18" hidden="1" customHeight="1">
      <c r="A38" s="366"/>
      <c r="B38" s="372" t="s">
        <v>430</v>
      </c>
      <c r="C38" s="373"/>
      <c r="D38" s="416"/>
      <c r="E38" s="416"/>
      <c r="F38" s="416"/>
      <c r="G38" s="416"/>
      <c r="H38" s="416"/>
      <c r="I38" s="416"/>
      <c r="J38" s="416"/>
      <c r="K38" s="416"/>
      <c r="L38" s="416"/>
      <c r="M38" s="416"/>
      <c r="N38" s="416"/>
      <c r="O38" s="416"/>
      <c r="P38" s="416"/>
      <c r="Q38" s="416"/>
      <c r="R38" s="416"/>
      <c r="S38" s="416"/>
      <c r="T38" s="416"/>
      <c r="U38" s="370"/>
    </row>
    <row r="39" spans="1:31" ht="13.8" hidden="1">
      <c r="A39" s="366"/>
      <c r="B39" s="419"/>
      <c r="C39" s="420" t="s">
        <v>421</v>
      </c>
      <c r="D39" s="421">
        <f>SUM(D11+D18+D25+D32)</f>
        <v>6685.57</v>
      </c>
      <c r="E39" s="421">
        <f t="shared" ref="E39:T43" si="27">SUM(E11+E18+E25+E32)</f>
        <v>6669.92</v>
      </c>
      <c r="F39" s="421">
        <f>SUM(F11+F18+F25+F32)</f>
        <v>6013.66</v>
      </c>
      <c r="G39" s="421">
        <f t="shared" ref="G39:T41" si="28">SUM(G11+G18+G25+G32)</f>
        <v>6865.9800000000005</v>
      </c>
      <c r="H39" s="421">
        <f t="shared" si="28"/>
        <v>5691.3</v>
      </c>
      <c r="I39" s="421">
        <f t="shared" si="28"/>
        <v>5766.4299999999994</v>
      </c>
      <c r="J39" s="421">
        <f t="shared" si="28"/>
        <v>0</v>
      </c>
      <c r="K39" s="421">
        <f t="shared" si="28"/>
        <v>0</v>
      </c>
      <c r="L39" s="421">
        <f t="shared" si="28"/>
        <v>0</v>
      </c>
      <c r="M39" s="421">
        <f t="shared" si="28"/>
        <v>0</v>
      </c>
      <c r="N39" s="421">
        <f t="shared" si="28"/>
        <v>0</v>
      </c>
      <c r="O39" s="421">
        <f t="shared" si="28"/>
        <v>0</v>
      </c>
      <c r="P39" s="421">
        <f t="shared" si="28"/>
        <v>19369.150000000001</v>
      </c>
      <c r="Q39" s="421">
        <f t="shared" si="28"/>
        <v>18323.71</v>
      </c>
      <c r="R39" s="421">
        <f t="shared" si="28"/>
        <v>0</v>
      </c>
      <c r="S39" s="421">
        <f t="shared" si="28"/>
        <v>0</v>
      </c>
      <c r="T39" s="421">
        <f t="shared" si="28"/>
        <v>37692.86</v>
      </c>
      <c r="U39" s="370"/>
    </row>
    <row r="40" spans="1:31" ht="13.8" hidden="1">
      <c r="A40" s="366"/>
      <c r="B40" s="380"/>
      <c r="C40" s="422" t="s">
        <v>1</v>
      </c>
      <c r="D40" s="421">
        <f>SUM(D12+D19+D26+D33)</f>
        <v>113548</v>
      </c>
      <c r="E40" s="421">
        <f>SUM(E12+E19+E26+E33)</f>
        <v>115089</v>
      </c>
      <c r="F40" s="421">
        <f>SUM(F12+F19+F26+F33)</f>
        <v>105417</v>
      </c>
      <c r="G40" s="421">
        <f t="shared" si="28"/>
        <v>121514</v>
      </c>
      <c r="H40" s="421">
        <f t="shared" si="28"/>
        <v>97642</v>
      </c>
      <c r="I40" s="421">
        <f t="shared" si="28"/>
        <v>99280</v>
      </c>
      <c r="J40" s="421">
        <f t="shared" si="28"/>
        <v>0</v>
      </c>
      <c r="K40" s="421">
        <f t="shared" si="28"/>
        <v>0</v>
      </c>
      <c r="L40" s="421">
        <f t="shared" si="28"/>
        <v>0</v>
      </c>
      <c r="M40" s="421">
        <f t="shared" si="28"/>
        <v>0</v>
      </c>
      <c r="N40" s="421">
        <f t="shared" si="28"/>
        <v>0</v>
      </c>
      <c r="O40" s="421">
        <f t="shared" si="28"/>
        <v>0</v>
      </c>
      <c r="P40" s="421">
        <f t="shared" si="28"/>
        <v>334054</v>
      </c>
      <c r="Q40" s="421">
        <f t="shared" si="28"/>
        <v>318436</v>
      </c>
      <c r="R40" s="421">
        <f t="shared" si="28"/>
        <v>0</v>
      </c>
      <c r="S40" s="421">
        <f t="shared" si="28"/>
        <v>0</v>
      </c>
      <c r="T40" s="421">
        <f t="shared" si="28"/>
        <v>652490</v>
      </c>
      <c r="U40" s="370"/>
    </row>
    <row r="41" spans="1:31" ht="13.8" hidden="1">
      <c r="A41" s="366"/>
      <c r="B41" s="380"/>
      <c r="C41" s="422" t="s">
        <v>422</v>
      </c>
      <c r="D41" s="421">
        <f>SUM(D13+D20+D27+D34)</f>
        <v>7195</v>
      </c>
      <c r="E41" s="421">
        <f>SUM(E13+E20+E27+E34)</f>
        <v>7151</v>
      </c>
      <c r="F41" s="421">
        <f>SUM(F13+F20+F27+F34)</f>
        <v>6504</v>
      </c>
      <c r="G41" s="421">
        <f t="shared" si="28"/>
        <v>7452</v>
      </c>
      <c r="H41" s="421">
        <f t="shared" si="28"/>
        <v>6155</v>
      </c>
      <c r="I41" s="421">
        <f t="shared" si="28"/>
        <v>6106</v>
      </c>
      <c r="J41" s="421">
        <f t="shared" si="28"/>
        <v>0</v>
      </c>
      <c r="K41" s="421">
        <f t="shared" si="28"/>
        <v>0</v>
      </c>
      <c r="L41" s="421">
        <f t="shared" si="28"/>
        <v>0</v>
      </c>
      <c r="M41" s="421">
        <f t="shared" si="28"/>
        <v>0</v>
      </c>
      <c r="N41" s="421">
        <f t="shared" si="28"/>
        <v>0</v>
      </c>
      <c r="O41" s="421">
        <f t="shared" si="28"/>
        <v>0</v>
      </c>
      <c r="P41" s="421">
        <f t="shared" si="27"/>
        <v>20850</v>
      </c>
      <c r="Q41" s="421">
        <f t="shared" si="27"/>
        <v>19713</v>
      </c>
      <c r="R41" s="421">
        <f t="shared" si="27"/>
        <v>0</v>
      </c>
      <c r="S41" s="421">
        <f t="shared" si="27"/>
        <v>0</v>
      </c>
      <c r="T41" s="421">
        <f t="shared" si="27"/>
        <v>40563</v>
      </c>
      <c r="U41" s="370"/>
    </row>
    <row r="42" spans="1:31" ht="13.8" hidden="1">
      <c r="A42" s="366"/>
      <c r="B42" s="380"/>
      <c r="C42" s="422" t="s">
        <v>423</v>
      </c>
      <c r="D42" s="421">
        <f t="shared" ref="D42:E43" si="29">SUM(D14+D21+D28+D35)</f>
        <v>422</v>
      </c>
      <c r="E42" s="421">
        <f t="shared" si="29"/>
        <v>806</v>
      </c>
      <c r="F42" s="421">
        <f t="shared" si="27"/>
        <v>532</v>
      </c>
      <c r="G42" s="421">
        <f t="shared" si="27"/>
        <v>977</v>
      </c>
      <c r="H42" s="421">
        <f t="shared" si="27"/>
        <v>740</v>
      </c>
      <c r="I42" s="421">
        <f t="shared" si="27"/>
        <v>549</v>
      </c>
      <c r="J42" s="421">
        <f t="shared" si="27"/>
        <v>0</v>
      </c>
      <c r="K42" s="421">
        <f t="shared" si="27"/>
        <v>0</v>
      </c>
      <c r="L42" s="421">
        <f t="shared" si="27"/>
        <v>0</v>
      </c>
      <c r="M42" s="421">
        <f t="shared" si="27"/>
        <v>0</v>
      </c>
      <c r="N42" s="421">
        <f t="shared" si="27"/>
        <v>0</v>
      </c>
      <c r="O42" s="421">
        <f t="shared" si="27"/>
        <v>0</v>
      </c>
      <c r="P42" s="421">
        <f t="shared" si="27"/>
        <v>1760</v>
      </c>
      <c r="Q42" s="421">
        <f t="shared" si="27"/>
        <v>2266</v>
      </c>
      <c r="R42" s="421">
        <f t="shared" si="27"/>
        <v>0</v>
      </c>
      <c r="S42" s="421">
        <f t="shared" si="27"/>
        <v>0</v>
      </c>
      <c r="T42" s="421">
        <f t="shared" si="27"/>
        <v>4026</v>
      </c>
      <c r="U42" s="370"/>
    </row>
    <row r="43" spans="1:31" ht="13.8" hidden="1">
      <c r="A43" s="366"/>
      <c r="B43" s="380"/>
      <c r="C43" s="422" t="s">
        <v>424</v>
      </c>
      <c r="D43" s="421">
        <f t="shared" si="29"/>
        <v>5288</v>
      </c>
      <c r="E43" s="421">
        <f t="shared" si="29"/>
        <v>5407</v>
      </c>
      <c r="F43" s="421">
        <f t="shared" si="27"/>
        <v>5183</v>
      </c>
      <c r="G43" s="421">
        <f t="shared" si="27"/>
        <v>5779</v>
      </c>
      <c r="H43" s="421">
        <f t="shared" si="27"/>
        <v>4558</v>
      </c>
      <c r="I43" s="421">
        <f t="shared" si="27"/>
        <v>4801.2060000000001</v>
      </c>
      <c r="J43" s="421">
        <f t="shared" si="27"/>
        <v>0</v>
      </c>
      <c r="K43" s="421">
        <f t="shared" si="27"/>
        <v>0</v>
      </c>
      <c r="L43" s="421">
        <f t="shared" si="27"/>
        <v>0</v>
      </c>
      <c r="M43" s="421">
        <f t="shared" si="27"/>
        <v>0</v>
      </c>
      <c r="N43" s="421">
        <f t="shared" si="27"/>
        <v>0</v>
      </c>
      <c r="O43" s="421">
        <f t="shared" si="27"/>
        <v>0</v>
      </c>
      <c r="P43" s="421">
        <f t="shared" si="27"/>
        <v>15878</v>
      </c>
      <c r="Q43" s="421">
        <f t="shared" si="27"/>
        <v>15138.206</v>
      </c>
      <c r="R43" s="421">
        <f t="shared" si="27"/>
        <v>0</v>
      </c>
      <c r="S43" s="421">
        <f t="shared" si="27"/>
        <v>0</v>
      </c>
      <c r="T43" s="421">
        <f t="shared" si="27"/>
        <v>31016.205999999998</v>
      </c>
      <c r="U43" s="370"/>
    </row>
    <row r="44" spans="1:31" s="415" customFormat="1" ht="13.8" hidden="1">
      <c r="A44" s="366"/>
      <c r="B44" s="417"/>
      <c r="C44" s="423" t="s">
        <v>431</v>
      </c>
      <c r="D44" s="418">
        <f>SUM(D41:D43)</f>
        <v>12905</v>
      </c>
      <c r="E44" s="418">
        <f t="shared" ref="E44" si="30">SUM(E41:E43)</f>
        <v>13364</v>
      </c>
      <c r="F44" s="418">
        <f t="shared" ref="F44:S44" si="31">F41+F42+F43</f>
        <v>12219</v>
      </c>
      <c r="G44" s="418">
        <f t="shared" si="31"/>
        <v>14208</v>
      </c>
      <c r="H44" s="418">
        <f t="shared" si="31"/>
        <v>11453</v>
      </c>
      <c r="I44" s="418">
        <f t="shared" si="31"/>
        <v>11456.206</v>
      </c>
      <c r="J44" s="418">
        <f t="shared" si="31"/>
        <v>0</v>
      </c>
      <c r="K44" s="418">
        <f t="shared" si="31"/>
        <v>0</v>
      </c>
      <c r="L44" s="418">
        <f t="shared" si="31"/>
        <v>0</v>
      </c>
      <c r="M44" s="418">
        <f t="shared" si="31"/>
        <v>0</v>
      </c>
      <c r="N44" s="418">
        <f t="shared" si="31"/>
        <v>0</v>
      </c>
      <c r="O44" s="418">
        <f t="shared" si="31"/>
        <v>0</v>
      </c>
      <c r="P44" s="369">
        <f t="shared" si="31"/>
        <v>38488</v>
      </c>
      <c r="Q44" s="369">
        <f t="shared" si="31"/>
        <v>37117.205999999998</v>
      </c>
      <c r="R44" s="369">
        <f t="shared" si="31"/>
        <v>0</v>
      </c>
      <c r="S44" s="369">
        <f t="shared" si="31"/>
        <v>0</v>
      </c>
      <c r="T44" s="369">
        <f>T41+T42+T43</f>
        <v>75605.206000000006</v>
      </c>
      <c r="U44" s="360"/>
      <c r="V44" s="371"/>
      <c r="W44" s="371"/>
      <c r="X44" s="371"/>
      <c r="Y44" s="371"/>
      <c r="Z44" s="371"/>
      <c r="AA44" s="371"/>
      <c r="AB44" s="371"/>
      <c r="AC44" s="371"/>
      <c r="AD44" s="371"/>
      <c r="AE44" s="371"/>
    </row>
    <row r="45" spans="1:31" s="403" customFormat="1" ht="13.8" hidden="1">
      <c r="A45" s="366"/>
      <c r="B45" s="402"/>
      <c r="C45" s="373"/>
      <c r="D45" s="402"/>
      <c r="E45" s="402"/>
      <c r="F45" s="402"/>
      <c r="G45" s="402"/>
      <c r="H45" s="402"/>
      <c r="I45" s="402"/>
      <c r="J45" s="402"/>
      <c r="K45" s="402"/>
      <c r="L45" s="402"/>
      <c r="M45" s="402"/>
      <c r="N45" s="402"/>
      <c r="O45" s="402"/>
      <c r="P45" s="402"/>
      <c r="Q45" s="402"/>
      <c r="R45" s="402"/>
      <c r="S45" s="402"/>
      <c r="T45" s="402"/>
      <c r="U45" s="360"/>
      <c r="V45" s="371"/>
      <c r="W45" s="371"/>
      <c r="X45" s="371"/>
      <c r="Y45" s="371"/>
      <c r="Z45" s="371"/>
      <c r="AA45" s="371"/>
      <c r="AB45" s="371"/>
      <c r="AC45" s="371"/>
      <c r="AD45" s="371"/>
      <c r="AE45" s="371"/>
    </row>
    <row r="46" spans="1:31" ht="13.8" thickBot="1">
      <c r="A46" s="424"/>
      <c r="B46" s="425"/>
      <c r="C46" s="425"/>
      <c r="D46" s="426" t="s">
        <v>395</v>
      </c>
      <c r="E46" s="427" t="s">
        <v>396</v>
      </c>
      <c r="F46" s="427" t="s">
        <v>397</v>
      </c>
      <c r="G46" s="427" t="s">
        <v>398</v>
      </c>
      <c r="H46" s="427" t="s">
        <v>399</v>
      </c>
      <c r="I46" s="427" t="s">
        <v>400</v>
      </c>
      <c r="J46" s="427" t="s">
        <v>401</v>
      </c>
      <c r="K46" s="427" t="s">
        <v>402</v>
      </c>
      <c r="L46" s="427" t="s">
        <v>403</v>
      </c>
      <c r="M46" s="427" t="s">
        <v>404</v>
      </c>
      <c r="N46" s="427" t="s">
        <v>405</v>
      </c>
      <c r="O46" s="427" t="s">
        <v>406</v>
      </c>
      <c r="P46" s="427" t="s">
        <v>415</v>
      </c>
      <c r="Q46" s="427" t="s">
        <v>416</v>
      </c>
      <c r="R46" s="427" t="s">
        <v>417</v>
      </c>
      <c r="S46" s="427" t="s">
        <v>418</v>
      </c>
      <c r="T46" s="425"/>
      <c r="U46" s="428"/>
    </row>
    <row r="47" spans="1:31" ht="22.8">
      <c r="A47" s="429"/>
      <c r="B47" s="430" t="s">
        <v>434</v>
      </c>
      <c r="C47" s="431"/>
      <c r="D47" s="432"/>
      <c r="E47" s="432"/>
      <c r="F47" s="432"/>
      <c r="G47" s="432"/>
      <c r="H47" s="432"/>
      <c r="I47" s="432"/>
      <c r="J47" s="432"/>
      <c r="K47" s="432"/>
      <c r="L47" s="432"/>
      <c r="M47" s="432"/>
      <c r="N47" s="432"/>
      <c r="O47" s="432"/>
      <c r="P47" s="433"/>
      <c r="Q47" s="433"/>
      <c r="R47" s="433"/>
      <c r="S47" s="433"/>
      <c r="T47" s="434"/>
      <c r="U47" s="435"/>
    </row>
    <row r="48" spans="1:31" ht="22.8">
      <c r="A48" s="436"/>
      <c r="B48" s="437"/>
      <c r="C48" s="438"/>
      <c r="D48" s="439" t="s">
        <v>395</v>
      </c>
      <c r="E48" s="440" t="s">
        <v>396</v>
      </c>
      <c r="F48" s="440" t="s">
        <v>397</v>
      </c>
      <c r="G48" s="440" t="s">
        <v>398</v>
      </c>
      <c r="H48" s="440" t="s">
        <v>399</v>
      </c>
      <c r="I48" s="440" t="s">
        <v>400</v>
      </c>
      <c r="J48" s="440" t="s">
        <v>401</v>
      </c>
      <c r="K48" s="440" t="s">
        <v>402</v>
      </c>
      <c r="L48" s="440" t="s">
        <v>403</v>
      </c>
      <c r="M48" s="440" t="s">
        <v>404</v>
      </c>
      <c r="N48" s="440" t="s">
        <v>405</v>
      </c>
      <c r="O48" s="440" t="s">
        <v>406</v>
      </c>
      <c r="P48" s="441"/>
      <c r="Q48" s="441"/>
      <c r="R48" s="441"/>
      <c r="S48" s="441"/>
      <c r="T48" s="438"/>
      <c r="U48" s="442"/>
    </row>
    <row r="49" spans="1:21" ht="17.399999999999999">
      <c r="A49" s="436"/>
      <c r="B49" s="443" t="str">
        <f>B6</f>
        <v>FY 2020</v>
      </c>
      <c r="C49" s="444"/>
      <c r="D49" s="445" t="s">
        <v>8</v>
      </c>
      <c r="E49" s="445" t="s">
        <v>78</v>
      </c>
      <c r="F49" s="445" t="s">
        <v>79</v>
      </c>
      <c r="G49" s="445" t="s">
        <v>80</v>
      </c>
      <c r="H49" s="445" t="s">
        <v>81</v>
      </c>
      <c r="I49" s="445" t="s">
        <v>82</v>
      </c>
      <c r="J49" s="445" t="s">
        <v>83</v>
      </c>
      <c r="K49" s="445" t="s">
        <v>84</v>
      </c>
      <c r="L49" s="445" t="s">
        <v>85</v>
      </c>
      <c r="M49" s="445" t="s">
        <v>4</v>
      </c>
      <c r="N49" s="445" t="s">
        <v>5</v>
      </c>
      <c r="O49" s="445" t="s">
        <v>6</v>
      </c>
      <c r="P49" s="446" t="s">
        <v>110</v>
      </c>
      <c r="Q49" s="446" t="s">
        <v>111</v>
      </c>
      <c r="R49" s="446" t="s">
        <v>112</v>
      </c>
      <c r="S49" s="446" t="s">
        <v>113</v>
      </c>
      <c r="T49" s="447" t="s">
        <v>114</v>
      </c>
      <c r="U49" s="448"/>
    </row>
    <row r="50" spans="1:21" ht="13.8">
      <c r="A50" s="449">
        <v>1</v>
      </c>
      <c r="B50" s="450"/>
      <c r="C50" s="401" t="s">
        <v>187</v>
      </c>
      <c r="D50" s="494">
        <f>'OpStatsTotals(MBTrailblazers)'!C62</f>
        <v>4</v>
      </c>
      <c r="E50" s="494">
        <f>'OpStatsTotals(MBTrailblazers)'!D62</f>
        <v>5</v>
      </c>
      <c r="F50" s="494">
        <f>'OpStatsTotals(MBTrailblazers)'!E62</f>
        <v>4</v>
      </c>
      <c r="G50" s="494">
        <f>'OpStatsTotals(MBTrailblazers)'!F62</f>
        <v>4</v>
      </c>
      <c r="H50" s="494">
        <f>'OpStatsTotals(MBTrailblazers)'!G62</f>
        <v>5</v>
      </c>
      <c r="I50" s="494">
        <f>'OpStatsTotals(MBTrailblazers)'!H62</f>
        <v>4</v>
      </c>
      <c r="J50" s="494">
        <f>'OpStatsTotals(MBTrailblazers)'!I62</f>
        <v>0</v>
      </c>
      <c r="K50" s="494">
        <f>'OpStatsTotals(MBTrailblazers)'!J62</f>
        <v>0</v>
      </c>
      <c r="L50" s="494">
        <f>'OpStatsTotals(MBTrailblazers)'!K62</f>
        <v>0</v>
      </c>
      <c r="M50" s="494">
        <f>'OpStatsTotals(MBTrailblazers)'!L62</f>
        <v>0</v>
      </c>
      <c r="N50" s="494">
        <f>'OpStatsTotals(MBTrailblazers)'!M62</f>
        <v>0</v>
      </c>
      <c r="O50" s="494">
        <f>'OpStatsTotals(MBTrailblazers)'!N62</f>
        <v>0</v>
      </c>
      <c r="P50" s="451">
        <f>D50+E50+F50</f>
        <v>13</v>
      </c>
      <c r="Q50" s="451">
        <f>G50+H50+I50</f>
        <v>13</v>
      </c>
      <c r="R50" s="451">
        <f>J50+K50+L50</f>
        <v>0</v>
      </c>
      <c r="S50" s="451">
        <f>M50+N50+O50</f>
        <v>0</v>
      </c>
      <c r="T50" s="451">
        <f>SUM(D50:O50)</f>
        <v>26</v>
      </c>
      <c r="U50" s="442">
        <v>1</v>
      </c>
    </row>
    <row r="51" spans="1:21" ht="13.8" hidden="1">
      <c r="A51" s="436"/>
      <c r="B51" s="452" t="s">
        <v>420</v>
      </c>
      <c r="C51" s="453"/>
      <c r="D51" s="454"/>
      <c r="E51" s="454"/>
      <c r="F51" s="454"/>
      <c r="G51" s="454"/>
      <c r="H51" s="454"/>
      <c r="I51" s="454"/>
      <c r="J51" s="454"/>
      <c r="K51" s="454"/>
      <c r="L51" s="454"/>
      <c r="M51" s="454"/>
      <c r="N51" s="454"/>
      <c r="O51" s="454"/>
      <c r="P51" s="454"/>
      <c r="Q51" s="454"/>
      <c r="R51" s="454"/>
      <c r="S51" s="454"/>
      <c r="T51" s="454"/>
      <c r="U51" s="442"/>
    </row>
    <row r="52" spans="1:21" ht="13.8" hidden="1">
      <c r="A52" s="436">
        <v>2</v>
      </c>
      <c r="B52" s="455"/>
      <c r="C52" s="408" t="s">
        <v>421</v>
      </c>
      <c r="D52" s="397"/>
      <c r="E52" s="397"/>
      <c r="F52" s="397"/>
      <c r="G52" s="397"/>
      <c r="H52" s="397"/>
      <c r="I52" s="397"/>
      <c r="J52" s="397"/>
      <c r="K52" s="397"/>
      <c r="L52" s="397"/>
      <c r="M52" s="397"/>
      <c r="N52" s="397"/>
      <c r="O52" s="397"/>
      <c r="P52" s="456">
        <f t="shared" ref="P52:P57" si="32">D52+E52+F52</f>
        <v>0</v>
      </c>
      <c r="Q52" s="456">
        <f t="shared" ref="Q52:Q57" si="33">G52+H52+I52</f>
        <v>0</v>
      </c>
      <c r="R52" s="456">
        <f t="shared" ref="R52:R57" si="34">J52+K52+L52</f>
        <v>0</v>
      </c>
      <c r="S52" s="456">
        <f t="shared" ref="S52:S57" si="35">M52+N52+O52</f>
        <v>0</v>
      </c>
      <c r="T52" s="456">
        <f>SUM(D52:O52)</f>
        <v>0</v>
      </c>
      <c r="U52" s="442">
        <f>U50+1</f>
        <v>2</v>
      </c>
    </row>
    <row r="53" spans="1:21" ht="13.8" hidden="1">
      <c r="A53" s="436">
        <v>3</v>
      </c>
      <c r="B53" s="457"/>
      <c r="C53" s="409" t="s">
        <v>1</v>
      </c>
      <c r="D53" s="397"/>
      <c r="E53" s="397"/>
      <c r="F53" s="397"/>
      <c r="G53" s="397"/>
      <c r="H53" s="397"/>
      <c r="I53" s="397"/>
      <c r="J53" s="397"/>
      <c r="K53" s="397"/>
      <c r="L53" s="397"/>
      <c r="M53" s="397"/>
      <c r="N53" s="397"/>
      <c r="O53" s="397"/>
      <c r="P53" s="451">
        <f t="shared" si="32"/>
        <v>0</v>
      </c>
      <c r="Q53" s="451">
        <f t="shared" si="33"/>
        <v>0</v>
      </c>
      <c r="R53" s="451">
        <f t="shared" si="34"/>
        <v>0</v>
      </c>
      <c r="S53" s="451">
        <f t="shared" si="35"/>
        <v>0</v>
      </c>
      <c r="T53" s="451">
        <f>SUM(D53:O53)</f>
        <v>0</v>
      </c>
      <c r="U53" s="442">
        <f>U52+1</f>
        <v>3</v>
      </c>
    </row>
    <row r="54" spans="1:21" ht="13.8" hidden="1">
      <c r="A54" s="436">
        <v>4</v>
      </c>
      <c r="B54" s="457"/>
      <c r="C54" s="409" t="s">
        <v>422</v>
      </c>
      <c r="D54" s="397"/>
      <c r="E54" s="397"/>
      <c r="F54" s="397"/>
      <c r="G54" s="397"/>
      <c r="H54" s="397"/>
      <c r="I54" s="397"/>
      <c r="J54" s="397"/>
      <c r="K54" s="397"/>
      <c r="L54" s="397"/>
      <c r="M54" s="397"/>
      <c r="N54" s="397"/>
      <c r="O54" s="397"/>
      <c r="P54" s="451">
        <f t="shared" si="32"/>
        <v>0</v>
      </c>
      <c r="Q54" s="451">
        <f t="shared" si="33"/>
        <v>0</v>
      </c>
      <c r="R54" s="451">
        <f t="shared" si="34"/>
        <v>0</v>
      </c>
      <c r="S54" s="451">
        <f t="shared" si="35"/>
        <v>0</v>
      </c>
      <c r="T54" s="451">
        <f>SUM(D54:O54)</f>
        <v>0</v>
      </c>
      <c r="U54" s="442">
        <f>U53+1</f>
        <v>4</v>
      </c>
    </row>
    <row r="55" spans="1:21" ht="13.8" hidden="1">
      <c r="A55" s="436">
        <v>5</v>
      </c>
      <c r="B55" s="457"/>
      <c r="C55" s="409" t="s">
        <v>423</v>
      </c>
      <c r="D55" s="397"/>
      <c r="E55" s="397"/>
      <c r="F55" s="397"/>
      <c r="G55" s="397"/>
      <c r="H55" s="397"/>
      <c r="I55" s="397"/>
      <c r="J55" s="397"/>
      <c r="K55" s="397"/>
      <c r="L55" s="397"/>
      <c r="M55" s="397"/>
      <c r="N55" s="397"/>
      <c r="O55" s="397"/>
      <c r="P55" s="451">
        <f t="shared" si="32"/>
        <v>0</v>
      </c>
      <c r="Q55" s="451">
        <f t="shared" si="33"/>
        <v>0</v>
      </c>
      <c r="R55" s="451">
        <f t="shared" si="34"/>
        <v>0</v>
      </c>
      <c r="S55" s="451">
        <f t="shared" si="35"/>
        <v>0</v>
      </c>
      <c r="T55" s="451">
        <f>SUM(D55:O55)</f>
        <v>0</v>
      </c>
      <c r="U55" s="442">
        <f>U54+1</f>
        <v>5</v>
      </c>
    </row>
    <row r="56" spans="1:21" ht="13.8" hidden="1">
      <c r="A56" s="436">
        <v>6</v>
      </c>
      <c r="B56" s="458"/>
      <c r="C56" s="409" t="s">
        <v>424</v>
      </c>
      <c r="D56" s="397"/>
      <c r="E56" s="397"/>
      <c r="F56" s="397"/>
      <c r="G56" s="397"/>
      <c r="H56" s="397"/>
      <c r="I56" s="397"/>
      <c r="J56" s="397"/>
      <c r="K56" s="397"/>
      <c r="L56" s="397"/>
      <c r="M56" s="397"/>
      <c r="N56" s="397"/>
      <c r="O56" s="397"/>
      <c r="P56" s="451">
        <f t="shared" si="32"/>
        <v>0</v>
      </c>
      <c r="Q56" s="451">
        <f t="shared" si="33"/>
        <v>0</v>
      </c>
      <c r="R56" s="451">
        <f t="shared" si="34"/>
        <v>0</v>
      </c>
      <c r="S56" s="451">
        <f t="shared" si="35"/>
        <v>0</v>
      </c>
      <c r="T56" s="451">
        <f>SUM(D56:O56)</f>
        <v>0</v>
      </c>
      <c r="U56" s="442">
        <f>U55+1</f>
        <v>6</v>
      </c>
    </row>
    <row r="57" spans="1:21" ht="13.8" hidden="1">
      <c r="A57" s="436"/>
      <c r="B57" s="459"/>
      <c r="C57" s="460" t="s">
        <v>425</v>
      </c>
      <c r="D57" s="461">
        <f t="shared" ref="D57" si="36">SUM(D54:D56)</f>
        <v>0</v>
      </c>
      <c r="E57" s="461">
        <f t="shared" ref="E57:O57" si="37">SUM(E54:E56)</f>
        <v>0</v>
      </c>
      <c r="F57" s="461">
        <f t="shared" si="37"/>
        <v>0</v>
      </c>
      <c r="G57" s="461">
        <f t="shared" si="37"/>
        <v>0</v>
      </c>
      <c r="H57" s="461">
        <f t="shared" si="37"/>
        <v>0</v>
      </c>
      <c r="I57" s="461">
        <f t="shared" si="37"/>
        <v>0</v>
      </c>
      <c r="J57" s="461">
        <f t="shared" si="37"/>
        <v>0</v>
      </c>
      <c r="K57" s="461">
        <f t="shared" si="37"/>
        <v>0</v>
      </c>
      <c r="L57" s="461">
        <f t="shared" si="37"/>
        <v>0</v>
      </c>
      <c r="M57" s="461">
        <f t="shared" si="37"/>
        <v>0</v>
      </c>
      <c r="N57" s="461">
        <f t="shared" si="37"/>
        <v>0</v>
      </c>
      <c r="O57" s="461">
        <f t="shared" si="37"/>
        <v>0</v>
      </c>
      <c r="P57" s="451">
        <f t="shared" si="32"/>
        <v>0</v>
      </c>
      <c r="Q57" s="451">
        <f t="shared" si="33"/>
        <v>0</v>
      </c>
      <c r="R57" s="451">
        <f t="shared" si="34"/>
        <v>0</v>
      </c>
      <c r="S57" s="451">
        <f t="shared" si="35"/>
        <v>0</v>
      </c>
      <c r="T57" s="451">
        <f>SUM(T54:T56)</f>
        <v>0</v>
      </c>
      <c r="U57" s="442"/>
    </row>
    <row r="58" spans="1:21" ht="13.8">
      <c r="A58" s="462"/>
      <c r="B58" s="452" t="s">
        <v>426</v>
      </c>
      <c r="C58" s="453"/>
      <c r="D58" s="463"/>
      <c r="E58" s="463"/>
      <c r="F58" s="463"/>
      <c r="G58" s="463"/>
      <c r="H58" s="463"/>
      <c r="I58" s="463"/>
      <c r="J58" s="463"/>
      <c r="K58" s="463"/>
      <c r="L58" s="463"/>
      <c r="M58" s="463"/>
      <c r="N58" s="463"/>
      <c r="O58" s="463"/>
      <c r="P58" s="463"/>
      <c r="Q58" s="463"/>
      <c r="R58" s="463"/>
      <c r="S58" s="463"/>
      <c r="T58" s="463"/>
      <c r="U58" s="442"/>
    </row>
    <row r="59" spans="1:21" ht="13.8">
      <c r="A59" s="436">
        <v>7</v>
      </c>
      <c r="B59" s="455"/>
      <c r="C59" s="408" t="s">
        <v>421</v>
      </c>
      <c r="D59" s="399">
        <f>'OpStatsTotals(DR)'!C34</f>
        <v>380</v>
      </c>
      <c r="E59" s="399">
        <f>'OpStatsTotals(DR)'!D34</f>
        <v>440</v>
      </c>
      <c r="F59" s="399">
        <f>'OpStatsTotals(DR)'!E34</f>
        <v>346</v>
      </c>
      <c r="G59" s="399">
        <f>'OpStatsTotals(DR)'!F34</f>
        <v>311</v>
      </c>
      <c r="H59" s="399">
        <f>'OpStatsTotals(DR)'!G34</f>
        <v>361</v>
      </c>
      <c r="I59" s="399">
        <f>'OpStatsTotals(DR)'!H34</f>
        <v>290</v>
      </c>
      <c r="J59" s="399">
        <f>'OpStatsTotals(DR)'!I34</f>
        <v>0</v>
      </c>
      <c r="K59" s="399">
        <f>'OpStatsTotals(DR)'!J34</f>
        <v>0</v>
      </c>
      <c r="L59" s="399">
        <f>'OpStatsTotals(DR)'!K34</f>
        <v>0</v>
      </c>
      <c r="M59" s="399">
        <f>'OpStatsTotals(DR)'!L34</f>
        <v>0</v>
      </c>
      <c r="N59" s="399">
        <f>'OpStatsTotals(DR)'!M34</f>
        <v>0</v>
      </c>
      <c r="O59" s="399">
        <f>'OpStatsTotals(DR)'!N34</f>
        <v>0</v>
      </c>
      <c r="P59" s="456">
        <f t="shared" ref="P59:P64" si="38">D59+E59+F59</f>
        <v>1166</v>
      </c>
      <c r="Q59" s="456">
        <f t="shared" ref="Q59:Q64" si="39">G59+H59+I59</f>
        <v>962</v>
      </c>
      <c r="R59" s="456">
        <f t="shared" ref="R59:R64" si="40">J59+K59+L59</f>
        <v>0</v>
      </c>
      <c r="S59" s="456">
        <f t="shared" ref="S59:S64" si="41">M59+N59+O59</f>
        <v>0</v>
      </c>
      <c r="T59" s="456">
        <f t="shared" ref="T59:T64" si="42">SUM(D59:O59)</f>
        <v>2128</v>
      </c>
      <c r="U59" s="442">
        <f>U56+1</f>
        <v>7</v>
      </c>
    </row>
    <row r="60" spans="1:21" ht="13.8">
      <c r="A60" s="436">
        <v>8</v>
      </c>
      <c r="B60" s="457"/>
      <c r="C60" s="409" t="s">
        <v>1</v>
      </c>
      <c r="D60" s="399">
        <f>'OpStatsTotals(DR)'!C37</f>
        <v>5542</v>
      </c>
      <c r="E60" s="399">
        <f>'OpStatsTotals(DR)'!D37</f>
        <v>7487</v>
      </c>
      <c r="F60" s="399">
        <f>'OpStatsTotals(DR)'!E37</f>
        <v>5518</v>
      </c>
      <c r="G60" s="399">
        <f>'OpStatsTotals(DR)'!F37</f>
        <v>5167</v>
      </c>
      <c r="H60" s="399">
        <f>'OpStatsTotals(DR)'!G37</f>
        <v>6005</v>
      </c>
      <c r="I60" s="399">
        <f>'OpStatsTotals(DR)'!H37</f>
        <v>4398</v>
      </c>
      <c r="J60" s="399">
        <f>'OpStatsTotals(DR)'!I37</f>
        <v>0</v>
      </c>
      <c r="K60" s="399">
        <f>'OpStatsTotals(DR)'!J37</f>
        <v>0</v>
      </c>
      <c r="L60" s="399">
        <f>'OpStatsTotals(DR)'!K37</f>
        <v>0</v>
      </c>
      <c r="M60" s="399">
        <f>'OpStatsTotals(DR)'!L37</f>
        <v>0</v>
      </c>
      <c r="N60" s="399">
        <f>'OpStatsTotals(DR)'!M37</f>
        <v>0</v>
      </c>
      <c r="O60" s="399">
        <f>'OpStatsTotals(DR)'!N37</f>
        <v>0</v>
      </c>
      <c r="P60" s="451">
        <f t="shared" si="38"/>
        <v>18547</v>
      </c>
      <c r="Q60" s="451">
        <f t="shared" si="39"/>
        <v>15570</v>
      </c>
      <c r="R60" s="451">
        <f t="shared" si="40"/>
        <v>0</v>
      </c>
      <c r="S60" s="451">
        <f t="shared" si="41"/>
        <v>0</v>
      </c>
      <c r="T60" s="451">
        <f t="shared" si="42"/>
        <v>34117</v>
      </c>
      <c r="U60" s="442">
        <f>U59+1</f>
        <v>8</v>
      </c>
    </row>
    <row r="61" spans="1:21" ht="13.8">
      <c r="A61" s="436">
        <v>9</v>
      </c>
      <c r="B61" s="457"/>
      <c r="C61" s="409" t="s">
        <v>422</v>
      </c>
      <c r="D61" s="399">
        <f>'OpStatsTotals(DR)'!C49</f>
        <v>328</v>
      </c>
      <c r="E61" s="399">
        <f>'OpStatsTotals(DR)'!D49</f>
        <v>420</v>
      </c>
      <c r="F61" s="399">
        <f>'OpStatsTotals(DR)'!E49</f>
        <v>367</v>
      </c>
      <c r="G61" s="399">
        <f>'OpStatsTotals(DR)'!F49</f>
        <v>302</v>
      </c>
      <c r="H61" s="399">
        <f>'OpStatsTotals(DR)'!G49</f>
        <v>337</v>
      </c>
      <c r="I61" s="399">
        <f>'OpStatsTotals(DR)'!H49</f>
        <v>306</v>
      </c>
      <c r="J61" s="399">
        <f>'OpStatsTotals(DR)'!I49</f>
        <v>0</v>
      </c>
      <c r="K61" s="399">
        <f>'OpStatsTotals(DR)'!J49</f>
        <v>0</v>
      </c>
      <c r="L61" s="399">
        <f>'OpStatsTotals(DR)'!K49</f>
        <v>0</v>
      </c>
      <c r="M61" s="399">
        <f>'OpStatsTotals(DR)'!L49</f>
        <v>0</v>
      </c>
      <c r="N61" s="399">
        <f>'OpStatsTotals(DR)'!M49</f>
        <v>0</v>
      </c>
      <c r="O61" s="399">
        <f>'OpStatsTotals(DR)'!N49</f>
        <v>0</v>
      </c>
      <c r="P61" s="451">
        <f t="shared" si="38"/>
        <v>1115</v>
      </c>
      <c r="Q61" s="451">
        <f t="shared" si="39"/>
        <v>945</v>
      </c>
      <c r="R61" s="451">
        <f t="shared" si="40"/>
        <v>0</v>
      </c>
      <c r="S61" s="451">
        <f t="shared" si="41"/>
        <v>0</v>
      </c>
      <c r="T61" s="451">
        <f t="shared" si="42"/>
        <v>2060</v>
      </c>
      <c r="U61" s="442">
        <f>U60+1</f>
        <v>9</v>
      </c>
    </row>
    <row r="62" spans="1:21" ht="13.8">
      <c r="A62" s="436">
        <v>10</v>
      </c>
      <c r="B62" s="457"/>
      <c r="C62" s="409" t="s">
        <v>423</v>
      </c>
      <c r="D62" s="399">
        <f>'OpStatsTotals(DR)'!C50</f>
        <v>23</v>
      </c>
      <c r="E62" s="399">
        <f>'OpStatsTotals(DR)'!D50</f>
        <v>44</v>
      </c>
      <c r="F62" s="399">
        <f>'OpStatsTotals(DR)'!E50</f>
        <v>32</v>
      </c>
      <c r="G62" s="399">
        <f>'OpStatsTotals(DR)'!F50</f>
        <v>31</v>
      </c>
      <c r="H62" s="399">
        <f>'OpStatsTotals(DR)'!G50</f>
        <v>40</v>
      </c>
      <c r="I62" s="399">
        <f>'OpStatsTotals(DR)'!H50</f>
        <v>30</v>
      </c>
      <c r="J62" s="399">
        <f>'OpStatsTotals(DR)'!I50</f>
        <v>0</v>
      </c>
      <c r="K62" s="399">
        <f>'OpStatsTotals(DR)'!J50</f>
        <v>0</v>
      </c>
      <c r="L62" s="399">
        <f>'OpStatsTotals(DR)'!K50</f>
        <v>0</v>
      </c>
      <c r="M62" s="399">
        <f>'OpStatsTotals(DR)'!L50</f>
        <v>0</v>
      </c>
      <c r="N62" s="399">
        <f>'OpStatsTotals(DR)'!M50</f>
        <v>0</v>
      </c>
      <c r="O62" s="399">
        <f>'OpStatsTotals(DR)'!N50</f>
        <v>0</v>
      </c>
      <c r="P62" s="451">
        <f t="shared" si="38"/>
        <v>99</v>
      </c>
      <c r="Q62" s="451">
        <f t="shared" si="39"/>
        <v>101</v>
      </c>
      <c r="R62" s="451">
        <f t="shared" si="40"/>
        <v>0</v>
      </c>
      <c r="S62" s="451">
        <f t="shared" si="41"/>
        <v>0</v>
      </c>
      <c r="T62" s="451">
        <f t="shared" si="42"/>
        <v>200</v>
      </c>
      <c r="U62" s="442">
        <f>U61+1</f>
        <v>10</v>
      </c>
    </row>
    <row r="63" spans="1:21" ht="13.8">
      <c r="A63" s="436">
        <v>11</v>
      </c>
      <c r="B63" s="457"/>
      <c r="C63" s="409" t="s">
        <v>424</v>
      </c>
      <c r="D63" s="399">
        <f>'OpStatsTotals(DR)'!C51</f>
        <v>186</v>
      </c>
      <c r="E63" s="399">
        <f>'OpStatsTotals(DR)'!D51</f>
        <v>225</v>
      </c>
      <c r="F63" s="399">
        <f>'OpStatsTotals(DR)'!E51</f>
        <v>189</v>
      </c>
      <c r="G63" s="399">
        <f>'OpStatsTotals(DR)'!F51</f>
        <v>169</v>
      </c>
      <c r="H63" s="399">
        <f>'OpStatsTotals(DR)'!G51</f>
        <v>186</v>
      </c>
      <c r="I63" s="399">
        <f>'OpStatsTotals(DR)'!H51</f>
        <v>160</v>
      </c>
      <c r="J63" s="399">
        <f>'OpStatsTotals(DR)'!I51</f>
        <v>0</v>
      </c>
      <c r="K63" s="399">
        <f>'OpStatsTotals(DR)'!J51</f>
        <v>0</v>
      </c>
      <c r="L63" s="399">
        <f>'OpStatsTotals(DR)'!K51</f>
        <v>0</v>
      </c>
      <c r="M63" s="399">
        <f>'OpStatsTotals(DR)'!L51</f>
        <v>0</v>
      </c>
      <c r="N63" s="399">
        <f>'OpStatsTotals(DR)'!M51</f>
        <v>0</v>
      </c>
      <c r="O63" s="399">
        <f>'OpStatsTotals(DR)'!N51</f>
        <v>0</v>
      </c>
      <c r="P63" s="451">
        <f t="shared" si="38"/>
        <v>600</v>
      </c>
      <c r="Q63" s="451">
        <f t="shared" si="39"/>
        <v>515</v>
      </c>
      <c r="R63" s="451">
        <f t="shared" si="40"/>
        <v>0</v>
      </c>
      <c r="S63" s="451">
        <f t="shared" si="41"/>
        <v>0</v>
      </c>
      <c r="T63" s="451">
        <f t="shared" si="42"/>
        <v>1115</v>
      </c>
      <c r="U63" s="442">
        <f>U62+1</f>
        <v>11</v>
      </c>
    </row>
    <row r="64" spans="1:21" ht="13.8">
      <c r="A64" s="436"/>
      <c r="B64" s="459"/>
      <c r="C64" s="460" t="s">
        <v>425</v>
      </c>
      <c r="D64" s="461">
        <f>SUM(D61:D63)</f>
        <v>537</v>
      </c>
      <c r="E64" s="451">
        <f t="shared" ref="E64:O64" si="43">SUM(E61:E63)</f>
        <v>689</v>
      </c>
      <c r="F64" s="451">
        <f t="shared" si="43"/>
        <v>588</v>
      </c>
      <c r="G64" s="451">
        <f t="shared" si="43"/>
        <v>502</v>
      </c>
      <c r="H64" s="451">
        <f t="shared" si="43"/>
        <v>563</v>
      </c>
      <c r="I64" s="451">
        <f t="shared" si="43"/>
        <v>496</v>
      </c>
      <c r="J64" s="451">
        <f t="shared" si="43"/>
        <v>0</v>
      </c>
      <c r="K64" s="451">
        <f t="shared" si="43"/>
        <v>0</v>
      </c>
      <c r="L64" s="451">
        <f t="shared" si="43"/>
        <v>0</v>
      </c>
      <c r="M64" s="451">
        <f t="shared" si="43"/>
        <v>0</v>
      </c>
      <c r="N64" s="451">
        <f t="shared" si="43"/>
        <v>0</v>
      </c>
      <c r="O64" s="451">
        <f t="shared" si="43"/>
        <v>0</v>
      </c>
      <c r="P64" s="451">
        <f t="shared" si="38"/>
        <v>1814</v>
      </c>
      <c r="Q64" s="451">
        <f t="shared" si="39"/>
        <v>1561</v>
      </c>
      <c r="R64" s="451">
        <f t="shared" si="40"/>
        <v>0</v>
      </c>
      <c r="S64" s="451">
        <f t="shared" si="41"/>
        <v>0</v>
      </c>
      <c r="T64" s="451">
        <f t="shared" si="42"/>
        <v>3375</v>
      </c>
      <c r="U64" s="442"/>
    </row>
    <row r="65" spans="1:21" ht="13.8" hidden="1">
      <c r="A65" s="462"/>
      <c r="B65" s="452" t="s">
        <v>427</v>
      </c>
      <c r="C65" s="453"/>
      <c r="D65" s="463"/>
      <c r="E65" s="463"/>
      <c r="F65" s="463"/>
      <c r="G65" s="463"/>
      <c r="H65" s="463"/>
      <c r="I65" s="463"/>
      <c r="J65" s="463"/>
      <c r="K65" s="463"/>
      <c r="L65" s="463"/>
      <c r="M65" s="463"/>
      <c r="N65" s="463"/>
      <c r="O65" s="463"/>
      <c r="P65" s="463"/>
      <c r="Q65" s="463"/>
      <c r="R65" s="463"/>
      <c r="S65" s="463"/>
      <c r="T65" s="463"/>
      <c r="U65" s="442"/>
    </row>
    <row r="66" spans="1:21" ht="13.8" hidden="1">
      <c r="A66" s="436">
        <v>12</v>
      </c>
      <c r="B66" s="455"/>
      <c r="C66" s="408" t="s">
        <v>421</v>
      </c>
      <c r="D66" s="397"/>
      <c r="E66" s="397"/>
      <c r="F66" s="397"/>
      <c r="G66" s="397"/>
      <c r="H66" s="397"/>
      <c r="I66" s="397"/>
      <c r="J66" s="397"/>
      <c r="K66" s="397"/>
      <c r="L66" s="397"/>
      <c r="M66" s="397"/>
      <c r="N66" s="397"/>
      <c r="O66" s="397"/>
      <c r="P66" s="456">
        <f t="shared" ref="P66:P71" si="44">D66+E66+F66</f>
        <v>0</v>
      </c>
      <c r="Q66" s="456">
        <f t="shared" ref="Q66:Q71" si="45">G66+H66+I66</f>
        <v>0</v>
      </c>
      <c r="R66" s="456">
        <f t="shared" ref="R66:R71" si="46">J66+K66+L66</f>
        <v>0</v>
      </c>
      <c r="S66" s="456">
        <f t="shared" ref="S66:S71" si="47">M66+N66+O66</f>
        <v>0</v>
      </c>
      <c r="T66" s="456">
        <f t="shared" ref="T66:T71" si="48">SUM(D66:O66)</f>
        <v>0</v>
      </c>
      <c r="U66" s="442">
        <f>U63+1</f>
        <v>12</v>
      </c>
    </row>
    <row r="67" spans="1:21" ht="13.8" hidden="1">
      <c r="A67" s="436">
        <v>13</v>
      </c>
      <c r="B67" s="457"/>
      <c r="C67" s="409" t="s">
        <v>1</v>
      </c>
      <c r="D67" s="397"/>
      <c r="E67" s="397"/>
      <c r="F67" s="397"/>
      <c r="G67" s="397"/>
      <c r="H67" s="397"/>
      <c r="I67" s="397"/>
      <c r="J67" s="397"/>
      <c r="K67" s="397"/>
      <c r="L67" s="397"/>
      <c r="M67" s="397"/>
      <c r="N67" s="397"/>
      <c r="O67" s="397"/>
      <c r="P67" s="451">
        <f t="shared" si="44"/>
        <v>0</v>
      </c>
      <c r="Q67" s="451">
        <f t="shared" si="45"/>
        <v>0</v>
      </c>
      <c r="R67" s="451">
        <f t="shared" si="46"/>
        <v>0</v>
      </c>
      <c r="S67" s="451">
        <f t="shared" si="47"/>
        <v>0</v>
      </c>
      <c r="T67" s="451">
        <f t="shared" si="48"/>
        <v>0</v>
      </c>
      <c r="U67" s="442">
        <f>U66+1</f>
        <v>13</v>
      </c>
    </row>
    <row r="68" spans="1:21" ht="13.8" hidden="1">
      <c r="A68" s="436">
        <v>14</v>
      </c>
      <c r="B68" s="457"/>
      <c r="C68" s="409" t="s">
        <v>422</v>
      </c>
      <c r="D68" s="397"/>
      <c r="E68" s="397"/>
      <c r="F68" s="397"/>
      <c r="G68" s="397"/>
      <c r="H68" s="397"/>
      <c r="I68" s="397"/>
      <c r="J68" s="397"/>
      <c r="K68" s="397"/>
      <c r="L68" s="397"/>
      <c r="M68" s="397"/>
      <c r="N68" s="397"/>
      <c r="O68" s="397"/>
      <c r="P68" s="451">
        <f t="shared" si="44"/>
        <v>0</v>
      </c>
      <c r="Q68" s="451">
        <f t="shared" si="45"/>
        <v>0</v>
      </c>
      <c r="R68" s="451">
        <f t="shared" si="46"/>
        <v>0</v>
      </c>
      <c r="S68" s="451">
        <f t="shared" si="47"/>
        <v>0</v>
      </c>
      <c r="T68" s="451">
        <f t="shared" si="48"/>
        <v>0</v>
      </c>
      <c r="U68" s="442">
        <f>U67+1</f>
        <v>14</v>
      </c>
    </row>
    <row r="69" spans="1:21" ht="13.8" hidden="1">
      <c r="A69" s="436">
        <v>15</v>
      </c>
      <c r="B69" s="457"/>
      <c r="C69" s="409" t="s">
        <v>423</v>
      </c>
      <c r="D69" s="397"/>
      <c r="E69" s="397"/>
      <c r="F69" s="397"/>
      <c r="G69" s="397"/>
      <c r="H69" s="397"/>
      <c r="I69" s="397"/>
      <c r="J69" s="397"/>
      <c r="K69" s="397"/>
      <c r="L69" s="397"/>
      <c r="M69" s="397"/>
      <c r="N69" s="397"/>
      <c r="O69" s="397"/>
      <c r="P69" s="451">
        <f t="shared" si="44"/>
        <v>0</v>
      </c>
      <c r="Q69" s="451">
        <f t="shared" si="45"/>
        <v>0</v>
      </c>
      <c r="R69" s="451">
        <f t="shared" si="46"/>
        <v>0</v>
      </c>
      <c r="S69" s="451">
        <f t="shared" si="47"/>
        <v>0</v>
      </c>
      <c r="T69" s="451">
        <f t="shared" si="48"/>
        <v>0</v>
      </c>
      <c r="U69" s="442">
        <f>U68+1</f>
        <v>15</v>
      </c>
    </row>
    <row r="70" spans="1:21" ht="13.8" hidden="1">
      <c r="A70" s="436">
        <v>16</v>
      </c>
      <c r="B70" s="457"/>
      <c r="C70" s="409" t="s">
        <v>424</v>
      </c>
      <c r="D70" s="397"/>
      <c r="E70" s="397"/>
      <c r="F70" s="397"/>
      <c r="G70" s="397"/>
      <c r="H70" s="397"/>
      <c r="I70" s="397"/>
      <c r="J70" s="397"/>
      <c r="K70" s="397"/>
      <c r="L70" s="397"/>
      <c r="M70" s="397"/>
      <c r="N70" s="397"/>
      <c r="O70" s="397"/>
      <c r="P70" s="451">
        <f t="shared" si="44"/>
        <v>0</v>
      </c>
      <c r="Q70" s="451">
        <f t="shared" si="45"/>
        <v>0</v>
      </c>
      <c r="R70" s="451">
        <f t="shared" si="46"/>
        <v>0</v>
      </c>
      <c r="S70" s="451">
        <f t="shared" si="47"/>
        <v>0</v>
      </c>
      <c r="T70" s="451">
        <f t="shared" si="48"/>
        <v>0</v>
      </c>
      <c r="U70" s="442">
        <f>U69+1</f>
        <v>16</v>
      </c>
    </row>
    <row r="71" spans="1:21" ht="13.8" hidden="1">
      <c r="A71" s="436"/>
      <c r="B71" s="459"/>
      <c r="C71" s="460" t="s">
        <v>425</v>
      </c>
      <c r="D71" s="451">
        <f t="shared" ref="D71:O71" si="49">SUM(D68:D70)</f>
        <v>0</v>
      </c>
      <c r="E71" s="451">
        <f t="shared" si="49"/>
        <v>0</v>
      </c>
      <c r="F71" s="451">
        <f t="shared" si="49"/>
        <v>0</v>
      </c>
      <c r="G71" s="451">
        <f t="shared" si="49"/>
        <v>0</v>
      </c>
      <c r="H71" s="451">
        <f t="shared" si="49"/>
        <v>0</v>
      </c>
      <c r="I71" s="451">
        <f t="shared" si="49"/>
        <v>0</v>
      </c>
      <c r="J71" s="451">
        <f t="shared" si="49"/>
        <v>0</v>
      </c>
      <c r="K71" s="451">
        <f t="shared" si="49"/>
        <v>0</v>
      </c>
      <c r="L71" s="451">
        <f t="shared" si="49"/>
        <v>0</v>
      </c>
      <c r="M71" s="451">
        <f t="shared" si="49"/>
        <v>0</v>
      </c>
      <c r="N71" s="451">
        <f t="shared" si="49"/>
        <v>0</v>
      </c>
      <c r="O71" s="451">
        <f t="shared" si="49"/>
        <v>0</v>
      </c>
      <c r="P71" s="451">
        <f t="shared" si="44"/>
        <v>0</v>
      </c>
      <c r="Q71" s="451">
        <f t="shared" si="45"/>
        <v>0</v>
      </c>
      <c r="R71" s="451">
        <f t="shared" si="46"/>
        <v>0</v>
      </c>
      <c r="S71" s="451">
        <f t="shared" si="47"/>
        <v>0</v>
      </c>
      <c r="T71" s="451">
        <f t="shared" si="48"/>
        <v>0</v>
      </c>
      <c r="U71" s="442"/>
    </row>
    <row r="72" spans="1:21" ht="13.8">
      <c r="A72" s="436"/>
      <c r="B72" s="452" t="s">
        <v>428</v>
      </c>
      <c r="C72" s="453"/>
      <c r="D72" s="454"/>
      <c r="E72" s="454"/>
      <c r="F72" s="454"/>
      <c r="G72" s="454"/>
      <c r="H72" s="454"/>
      <c r="I72" s="454"/>
      <c r="J72" s="454"/>
      <c r="K72" s="454"/>
      <c r="L72" s="454"/>
      <c r="M72" s="454"/>
      <c r="N72" s="454"/>
      <c r="O72" s="454"/>
      <c r="P72" s="454"/>
      <c r="Q72" s="454"/>
      <c r="R72" s="454"/>
      <c r="S72" s="454"/>
      <c r="T72" s="454"/>
      <c r="U72" s="442"/>
    </row>
    <row r="73" spans="1:21" ht="13.8">
      <c r="A73" s="436">
        <v>17</v>
      </c>
      <c r="B73" s="464"/>
      <c r="C73" s="408" t="s">
        <v>421</v>
      </c>
      <c r="D73" s="399">
        <f>'OpStatsTotals(MBTrailblazers)'!C75</f>
        <v>41</v>
      </c>
      <c r="E73" s="399">
        <f>'OpStatsTotals(MBTrailblazers)'!D75</f>
        <v>52</v>
      </c>
      <c r="F73" s="399">
        <f>'OpStatsTotals(MBTrailblazers)'!E75</f>
        <v>41</v>
      </c>
      <c r="G73" s="399">
        <f>'OpStatsTotals(MBTrailblazers)'!F75</f>
        <v>41</v>
      </c>
      <c r="H73" s="399">
        <f>'OpStatsTotals(MBTrailblazers)'!G75</f>
        <v>52</v>
      </c>
      <c r="I73" s="399">
        <f>'OpStatsTotals(MBTrailblazers)'!H75</f>
        <v>41</v>
      </c>
      <c r="J73" s="399">
        <f>'OpStatsTotals(MBTrailblazers)'!I75</f>
        <v>0</v>
      </c>
      <c r="K73" s="399">
        <f>'OpStatsTotals(MBTrailblazers)'!J75</f>
        <v>0</v>
      </c>
      <c r="L73" s="399">
        <f>'OpStatsTotals(MBTrailblazers)'!K75</f>
        <v>0</v>
      </c>
      <c r="M73" s="399">
        <f>'OpStatsTotals(MBTrailblazers)'!L75</f>
        <v>0</v>
      </c>
      <c r="N73" s="399">
        <f>'OpStatsTotals(MBTrailblazers)'!M75</f>
        <v>0</v>
      </c>
      <c r="O73" s="399">
        <f>'OpStatsTotals(MBTrailblazers)'!N75</f>
        <v>0</v>
      </c>
      <c r="P73" s="456">
        <f t="shared" ref="P73:P78" si="50">D73+E73+F73</f>
        <v>134</v>
      </c>
      <c r="Q73" s="456">
        <f t="shared" ref="Q73:Q78" si="51">G73+H73+I73</f>
        <v>134</v>
      </c>
      <c r="R73" s="456">
        <f t="shared" ref="R73:R78" si="52">J73+K73+L73</f>
        <v>0</v>
      </c>
      <c r="S73" s="456">
        <f t="shared" ref="S73:S78" si="53">M73+N73+O73</f>
        <v>0</v>
      </c>
      <c r="T73" s="456">
        <f t="shared" ref="T73:T78" si="54">SUM(D73:O73)</f>
        <v>268</v>
      </c>
      <c r="U73" s="465">
        <f>U70+1</f>
        <v>17</v>
      </c>
    </row>
    <row r="74" spans="1:21" ht="13.8">
      <c r="A74" s="436">
        <v>18</v>
      </c>
      <c r="B74" s="457"/>
      <c r="C74" s="409" t="s">
        <v>1</v>
      </c>
      <c r="D74" s="399">
        <f>'OpStatsTotals(MBTrailblazers)'!C79</f>
        <v>675</v>
      </c>
      <c r="E74" s="399">
        <f>'OpStatsTotals(MBTrailblazers)'!D79</f>
        <v>939</v>
      </c>
      <c r="F74" s="399">
        <f>'OpStatsTotals(MBTrailblazers)'!E79</f>
        <v>756</v>
      </c>
      <c r="G74" s="399">
        <f>'OpStatsTotals(MBTrailblazers)'!F79</f>
        <v>684</v>
      </c>
      <c r="H74" s="399">
        <f>'OpStatsTotals(MBTrailblazers)'!G79</f>
        <v>912</v>
      </c>
      <c r="I74" s="399">
        <f>'OpStatsTotals(MBTrailblazers)'!H79</f>
        <v>678</v>
      </c>
      <c r="J74" s="399">
        <f>'OpStatsTotals(MBTrailblazers)'!I79</f>
        <v>0</v>
      </c>
      <c r="K74" s="399">
        <f>'OpStatsTotals(MBTrailblazers)'!J79</f>
        <v>0</v>
      </c>
      <c r="L74" s="399">
        <f>'OpStatsTotals(MBTrailblazers)'!K79</f>
        <v>0</v>
      </c>
      <c r="M74" s="399">
        <f>'OpStatsTotals(MBTrailblazers)'!L79</f>
        <v>0</v>
      </c>
      <c r="N74" s="399">
        <f>'OpStatsTotals(MBTrailblazers)'!M79</f>
        <v>0</v>
      </c>
      <c r="O74" s="399">
        <f>'OpStatsTotals(MBTrailblazers)'!N79</f>
        <v>0</v>
      </c>
      <c r="P74" s="451">
        <f t="shared" si="50"/>
        <v>2370</v>
      </c>
      <c r="Q74" s="451">
        <f t="shared" si="51"/>
        <v>2274</v>
      </c>
      <c r="R74" s="451">
        <f t="shared" si="52"/>
        <v>0</v>
      </c>
      <c r="S74" s="451">
        <f t="shared" si="53"/>
        <v>0</v>
      </c>
      <c r="T74" s="451">
        <f t="shared" si="54"/>
        <v>4644</v>
      </c>
      <c r="U74" s="465">
        <f>U73+1</f>
        <v>18</v>
      </c>
    </row>
    <row r="75" spans="1:21" ht="13.8">
      <c r="A75" s="436">
        <v>19</v>
      </c>
      <c r="B75" s="457"/>
      <c r="C75" s="409" t="s">
        <v>422</v>
      </c>
      <c r="D75" s="399">
        <f>'OpStatsTotals(MBTrailblazers)'!C87</f>
        <v>150</v>
      </c>
      <c r="E75" s="399">
        <f>'OpStatsTotals(MBTrailblazers)'!D87</f>
        <v>156</v>
      </c>
      <c r="F75" s="399">
        <f>'OpStatsTotals(MBTrailblazers)'!E87</f>
        <v>146</v>
      </c>
      <c r="G75" s="399">
        <f>'OpStatsTotals(MBTrailblazers)'!F87</f>
        <v>117</v>
      </c>
      <c r="H75" s="399">
        <f>'OpStatsTotals(MBTrailblazers)'!G87</f>
        <v>155</v>
      </c>
      <c r="I75" s="399">
        <f>'OpStatsTotals(MBTrailblazers)'!H87</f>
        <v>99</v>
      </c>
      <c r="J75" s="399">
        <f>'OpStatsTotals(MBTrailblazers)'!I87</f>
        <v>0</v>
      </c>
      <c r="K75" s="399">
        <f>'OpStatsTotals(MBTrailblazers)'!J87</f>
        <v>0</v>
      </c>
      <c r="L75" s="399">
        <f>'OpStatsTotals(MBTrailblazers)'!K87</f>
        <v>0</v>
      </c>
      <c r="M75" s="399">
        <f>'OpStatsTotals(MBTrailblazers)'!L87</f>
        <v>0</v>
      </c>
      <c r="N75" s="399">
        <f>'OpStatsTotals(MBTrailblazers)'!M87</f>
        <v>0</v>
      </c>
      <c r="O75" s="399">
        <f>'OpStatsTotals(DR)'!N49</f>
        <v>0</v>
      </c>
      <c r="P75" s="451">
        <f t="shared" si="50"/>
        <v>452</v>
      </c>
      <c r="Q75" s="451">
        <f t="shared" si="51"/>
        <v>371</v>
      </c>
      <c r="R75" s="451">
        <f t="shared" si="52"/>
        <v>0</v>
      </c>
      <c r="S75" s="451">
        <f t="shared" si="53"/>
        <v>0</v>
      </c>
      <c r="T75" s="451">
        <f t="shared" si="54"/>
        <v>823</v>
      </c>
      <c r="U75" s="465">
        <f>U74+1</f>
        <v>19</v>
      </c>
    </row>
    <row r="76" spans="1:21" ht="13.8">
      <c r="A76" s="436">
        <v>20</v>
      </c>
      <c r="B76" s="457"/>
      <c r="C76" s="409" t="s">
        <v>423</v>
      </c>
      <c r="D76" s="399"/>
      <c r="E76" s="399"/>
      <c r="F76" s="399"/>
      <c r="G76" s="399"/>
      <c r="H76" s="399"/>
      <c r="I76" s="399"/>
      <c r="J76" s="399"/>
      <c r="K76" s="399"/>
      <c r="L76" s="399"/>
      <c r="M76" s="399"/>
      <c r="N76" s="399"/>
      <c r="O76" s="399"/>
      <c r="P76" s="451">
        <f t="shared" si="50"/>
        <v>0</v>
      </c>
      <c r="Q76" s="451">
        <f t="shared" si="51"/>
        <v>0</v>
      </c>
      <c r="R76" s="451">
        <f t="shared" si="52"/>
        <v>0</v>
      </c>
      <c r="S76" s="451">
        <f t="shared" si="53"/>
        <v>0</v>
      </c>
      <c r="T76" s="451">
        <f t="shared" si="54"/>
        <v>0</v>
      </c>
      <c r="U76" s="465">
        <f>U75+1</f>
        <v>20</v>
      </c>
    </row>
    <row r="77" spans="1:21" ht="13.8">
      <c r="A77" s="436">
        <v>21</v>
      </c>
      <c r="B77" s="458"/>
      <c r="C77" s="409" t="s">
        <v>424</v>
      </c>
      <c r="D77" s="399"/>
      <c r="E77" s="399"/>
      <c r="F77" s="399"/>
      <c r="G77" s="399"/>
      <c r="H77" s="399"/>
      <c r="I77" s="399"/>
      <c r="J77" s="399"/>
      <c r="K77" s="399"/>
      <c r="L77" s="399"/>
      <c r="M77" s="399"/>
      <c r="N77" s="399"/>
      <c r="O77" s="399"/>
      <c r="P77" s="451">
        <f t="shared" si="50"/>
        <v>0</v>
      </c>
      <c r="Q77" s="451">
        <f t="shared" si="51"/>
        <v>0</v>
      </c>
      <c r="R77" s="451">
        <f t="shared" si="52"/>
        <v>0</v>
      </c>
      <c r="S77" s="451">
        <f t="shared" si="53"/>
        <v>0</v>
      </c>
      <c r="T77" s="451">
        <f t="shared" si="54"/>
        <v>0</v>
      </c>
      <c r="U77" s="465">
        <f>U76+1</f>
        <v>21</v>
      </c>
    </row>
    <row r="78" spans="1:21" ht="13.8">
      <c r="A78" s="436"/>
      <c r="B78" s="466"/>
      <c r="C78" s="460" t="s">
        <v>429</v>
      </c>
      <c r="D78" s="451">
        <f t="shared" ref="D78:O78" si="55">SUM(D75:D77)</f>
        <v>150</v>
      </c>
      <c r="E78" s="451">
        <f t="shared" si="55"/>
        <v>156</v>
      </c>
      <c r="F78" s="451">
        <f t="shared" si="55"/>
        <v>146</v>
      </c>
      <c r="G78" s="451">
        <f t="shared" si="55"/>
        <v>117</v>
      </c>
      <c r="H78" s="451">
        <f t="shared" si="55"/>
        <v>155</v>
      </c>
      <c r="I78" s="451">
        <f t="shared" si="55"/>
        <v>99</v>
      </c>
      <c r="J78" s="451">
        <f t="shared" si="55"/>
        <v>0</v>
      </c>
      <c r="K78" s="451">
        <f t="shared" si="55"/>
        <v>0</v>
      </c>
      <c r="L78" s="451">
        <f t="shared" si="55"/>
        <v>0</v>
      </c>
      <c r="M78" s="451">
        <f t="shared" si="55"/>
        <v>0</v>
      </c>
      <c r="N78" s="451">
        <f t="shared" si="55"/>
        <v>0</v>
      </c>
      <c r="O78" s="451">
        <f t="shared" si="55"/>
        <v>0</v>
      </c>
      <c r="P78" s="451">
        <f t="shared" si="50"/>
        <v>452</v>
      </c>
      <c r="Q78" s="451">
        <f t="shared" si="51"/>
        <v>371</v>
      </c>
      <c r="R78" s="451">
        <f t="shared" si="52"/>
        <v>0</v>
      </c>
      <c r="S78" s="451">
        <f t="shared" si="53"/>
        <v>0</v>
      </c>
      <c r="T78" s="451">
        <f t="shared" si="54"/>
        <v>823</v>
      </c>
      <c r="U78" s="442"/>
    </row>
    <row r="79" spans="1:21" ht="13.8" hidden="1">
      <c r="A79" s="436"/>
      <c r="B79" s="452" t="s">
        <v>430</v>
      </c>
      <c r="C79" s="453"/>
      <c r="D79" s="463"/>
      <c r="E79" s="463"/>
      <c r="F79" s="463"/>
      <c r="G79" s="463"/>
      <c r="H79" s="463"/>
      <c r="I79" s="463"/>
      <c r="J79" s="463"/>
      <c r="K79" s="463"/>
      <c r="L79" s="463"/>
      <c r="M79" s="463"/>
      <c r="N79" s="463"/>
      <c r="O79" s="463"/>
      <c r="P79" s="463"/>
      <c r="Q79" s="463"/>
      <c r="R79" s="463"/>
      <c r="S79" s="463"/>
      <c r="T79" s="463"/>
      <c r="U79" s="442"/>
    </row>
    <row r="80" spans="1:21" ht="13.8" hidden="1">
      <c r="A80" s="436"/>
      <c r="B80" s="467"/>
      <c r="C80" s="468" t="s">
        <v>421</v>
      </c>
      <c r="D80" s="469">
        <f t="shared" ref="D80:S84" si="56">SUM(D52+D59+D66+D73)</f>
        <v>421</v>
      </c>
      <c r="E80" s="469">
        <f t="shared" si="56"/>
        <v>492</v>
      </c>
      <c r="F80" s="469">
        <f>SUM(F52+F59+F66+F73)</f>
        <v>387</v>
      </c>
      <c r="G80" s="469">
        <f t="shared" ref="F80:T84" si="57">SUM(G52+G59+G66+G73)</f>
        <v>352</v>
      </c>
      <c r="H80" s="469">
        <f t="shared" si="57"/>
        <v>413</v>
      </c>
      <c r="I80" s="469">
        <f t="shared" si="57"/>
        <v>331</v>
      </c>
      <c r="J80" s="469">
        <f t="shared" si="57"/>
        <v>0</v>
      </c>
      <c r="K80" s="469">
        <f t="shared" si="57"/>
        <v>0</v>
      </c>
      <c r="L80" s="469">
        <f t="shared" si="57"/>
        <v>0</v>
      </c>
      <c r="M80" s="469">
        <f t="shared" si="57"/>
        <v>0</v>
      </c>
      <c r="N80" s="469">
        <f t="shared" si="57"/>
        <v>0</v>
      </c>
      <c r="O80" s="469">
        <f t="shared" si="57"/>
        <v>0</v>
      </c>
      <c r="P80" s="469">
        <f t="shared" si="57"/>
        <v>1300</v>
      </c>
      <c r="Q80" s="469">
        <f t="shared" si="57"/>
        <v>1096</v>
      </c>
      <c r="R80" s="469">
        <f t="shared" si="57"/>
        <v>0</v>
      </c>
      <c r="S80" s="469">
        <f t="shared" si="57"/>
        <v>0</v>
      </c>
      <c r="T80" s="469">
        <f t="shared" si="57"/>
        <v>2396</v>
      </c>
      <c r="U80" s="442"/>
    </row>
    <row r="81" spans="1:21" ht="13.8" hidden="1">
      <c r="A81" s="436"/>
      <c r="B81" s="470"/>
      <c r="C81" s="471" t="s">
        <v>1</v>
      </c>
      <c r="D81" s="469">
        <f t="shared" si="56"/>
        <v>6217</v>
      </c>
      <c r="E81" s="469">
        <f t="shared" si="56"/>
        <v>8426</v>
      </c>
      <c r="F81" s="469">
        <f>SUM(F53+F60+F67+F74)</f>
        <v>6274</v>
      </c>
      <c r="G81" s="469">
        <f t="shared" si="57"/>
        <v>5851</v>
      </c>
      <c r="H81" s="469">
        <f t="shared" si="57"/>
        <v>6917</v>
      </c>
      <c r="I81" s="469">
        <f t="shared" si="57"/>
        <v>5076</v>
      </c>
      <c r="J81" s="469">
        <f t="shared" si="57"/>
        <v>0</v>
      </c>
      <c r="K81" s="469">
        <f t="shared" si="57"/>
        <v>0</v>
      </c>
      <c r="L81" s="469">
        <f t="shared" si="57"/>
        <v>0</v>
      </c>
      <c r="M81" s="469">
        <f t="shared" si="57"/>
        <v>0</v>
      </c>
      <c r="N81" s="469">
        <f t="shared" si="57"/>
        <v>0</v>
      </c>
      <c r="O81" s="469">
        <f t="shared" si="57"/>
        <v>0</v>
      </c>
      <c r="P81" s="469">
        <f t="shared" si="57"/>
        <v>20917</v>
      </c>
      <c r="Q81" s="469">
        <f t="shared" si="57"/>
        <v>17844</v>
      </c>
      <c r="R81" s="469">
        <f t="shared" si="57"/>
        <v>0</v>
      </c>
      <c r="S81" s="469">
        <f t="shared" si="57"/>
        <v>0</v>
      </c>
      <c r="T81" s="469">
        <f t="shared" si="57"/>
        <v>38761</v>
      </c>
      <c r="U81" s="442"/>
    </row>
    <row r="82" spans="1:21" ht="13.8" hidden="1">
      <c r="A82" s="436"/>
      <c r="B82" s="470"/>
      <c r="C82" s="471" t="s">
        <v>422</v>
      </c>
      <c r="D82" s="469">
        <f t="shared" si="56"/>
        <v>478</v>
      </c>
      <c r="E82" s="469">
        <f t="shared" si="56"/>
        <v>576</v>
      </c>
      <c r="F82" s="469">
        <f t="shared" si="56"/>
        <v>513</v>
      </c>
      <c r="G82" s="469">
        <f t="shared" si="56"/>
        <v>419</v>
      </c>
      <c r="H82" s="469">
        <f t="shared" si="56"/>
        <v>492</v>
      </c>
      <c r="I82" s="469">
        <f t="shared" si="56"/>
        <v>405</v>
      </c>
      <c r="J82" s="469">
        <f t="shared" si="56"/>
        <v>0</v>
      </c>
      <c r="K82" s="469">
        <f t="shared" si="56"/>
        <v>0</v>
      </c>
      <c r="L82" s="469">
        <f t="shared" si="56"/>
        <v>0</v>
      </c>
      <c r="M82" s="469">
        <f t="shared" si="56"/>
        <v>0</v>
      </c>
      <c r="N82" s="469">
        <f t="shared" si="56"/>
        <v>0</v>
      </c>
      <c r="O82" s="469">
        <f t="shared" si="56"/>
        <v>0</v>
      </c>
      <c r="P82" s="469">
        <f t="shared" si="56"/>
        <v>1567</v>
      </c>
      <c r="Q82" s="469">
        <f t="shared" si="56"/>
        <v>1316</v>
      </c>
      <c r="R82" s="469">
        <f t="shared" si="56"/>
        <v>0</v>
      </c>
      <c r="S82" s="469">
        <f t="shared" si="56"/>
        <v>0</v>
      </c>
      <c r="T82" s="469">
        <f t="shared" si="57"/>
        <v>2883</v>
      </c>
      <c r="U82" s="442"/>
    </row>
    <row r="83" spans="1:21" ht="13.8" hidden="1">
      <c r="A83" s="436"/>
      <c r="B83" s="470"/>
      <c r="C83" s="471" t="s">
        <v>423</v>
      </c>
      <c r="D83" s="469">
        <f t="shared" si="56"/>
        <v>23</v>
      </c>
      <c r="E83" s="469">
        <f t="shared" si="56"/>
        <v>44</v>
      </c>
      <c r="F83" s="469">
        <f t="shared" si="57"/>
        <v>32</v>
      </c>
      <c r="G83" s="469">
        <f t="shared" si="57"/>
        <v>31</v>
      </c>
      <c r="H83" s="469">
        <f t="shared" si="57"/>
        <v>40</v>
      </c>
      <c r="I83" s="469">
        <f t="shared" si="57"/>
        <v>30</v>
      </c>
      <c r="J83" s="469">
        <f t="shared" si="57"/>
        <v>0</v>
      </c>
      <c r="K83" s="469">
        <f t="shared" si="57"/>
        <v>0</v>
      </c>
      <c r="L83" s="469">
        <f t="shared" si="57"/>
        <v>0</v>
      </c>
      <c r="M83" s="469">
        <f t="shared" si="57"/>
        <v>0</v>
      </c>
      <c r="N83" s="469">
        <f t="shared" si="57"/>
        <v>0</v>
      </c>
      <c r="O83" s="469">
        <f t="shared" si="57"/>
        <v>0</v>
      </c>
      <c r="P83" s="469">
        <f t="shared" si="57"/>
        <v>99</v>
      </c>
      <c r="Q83" s="469">
        <f t="shared" si="57"/>
        <v>101</v>
      </c>
      <c r="R83" s="469">
        <f t="shared" si="57"/>
        <v>0</v>
      </c>
      <c r="S83" s="469">
        <f t="shared" si="57"/>
        <v>0</v>
      </c>
      <c r="T83" s="469">
        <f t="shared" si="57"/>
        <v>200</v>
      </c>
      <c r="U83" s="442"/>
    </row>
    <row r="84" spans="1:21" ht="13.8" hidden="1">
      <c r="A84" s="436"/>
      <c r="B84" s="470"/>
      <c r="C84" s="471" t="s">
        <v>424</v>
      </c>
      <c r="D84" s="469">
        <f t="shared" si="56"/>
        <v>186</v>
      </c>
      <c r="E84" s="469">
        <f t="shared" si="56"/>
        <v>225</v>
      </c>
      <c r="F84" s="469">
        <f t="shared" si="57"/>
        <v>189</v>
      </c>
      <c r="G84" s="469">
        <f t="shared" si="57"/>
        <v>169</v>
      </c>
      <c r="H84" s="469">
        <f t="shared" si="57"/>
        <v>186</v>
      </c>
      <c r="I84" s="469">
        <f t="shared" si="57"/>
        <v>160</v>
      </c>
      <c r="J84" s="469">
        <f t="shared" si="57"/>
        <v>0</v>
      </c>
      <c r="K84" s="469">
        <f t="shared" si="57"/>
        <v>0</v>
      </c>
      <c r="L84" s="469">
        <f t="shared" si="57"/>
        <v>0</v>
      </c>
      <c r="M84" s="469">
        <f t="shared" si="57"/>
        <v>0</v>
      </c>
      <c r="N84" s="469">
        <f t="shared" si="57"/>
        <v>0</v>
      </c>
      <c r="O84" s="469">
        <f t="shared" si="57"/>
        <v>0</v>
      </c>
      <c r="P84" s="469">
        <f t="shared" si="57"/>
        <v>600</v>
      </c>
      <c r="Q84" s="469">
        <f t="shared" si="57"/>
        <v>515</v>
      </c>
      <c r="R84" s="469">
        <f t="shared" si="57"/>
        <v>0</v>
      </c>
      <c r="S84" s="469">
        <f t="shared" si="57"/>
        <v>0</v>
      </c>
      <c r="T84" s="469">
        <f t="shared" si="57"/>
        <v>1115</v>
      </c>
      <c r="U84" s="442"/>
    </row>
    <row r="85" spans="1:21" ht="13.8" hidden="1">
      <c r="A85" s="436"/>
      <c r="B85" s="472"/>
      <c r="C85" s="473" t="s">
        <v>431</v>
      </c>
      <c r="D85" s="474">
        <f>SUM(D82:D84)</f>
        <v>687</v>
      </c>
      <c r="E85" s="474">
        <f t="shared" ref="E85" si="58">SUM(E82:E84)</f>
        <v>845</v>
      </c>
      <c r="F85" s="474">
        <f t="shared" ref="F85:S85" si="59">F82+F83+F84</f>
        <v>734</v>
      </c>
      <c r="G85" s="474">
        <f t="shared" si="59"/>
        <v>619</v>
      </c>
      <c r="H85" s="474">
        <f t="shared" si="59"/>
        <v>718</v>
      </c>
      <c r="I85" s="474">
        <f t="shared" si="59"/>
        <v>595</v>
      </c>
      <c r="J85" s="474">
        <f t="shared" si="59"/>
        <v>0</v>
      </c>
      <c r="K85" s="474">
        <f t="shared" si="59"/>
        <v>0</v>
      </c>
      <c r="L85" s="474">
        <f t="shared" si="59"/>
        <v>0</v>
      </c>
      <c r="M85" s="474">
        <f t="shared" si="59"/>
        <v>0</v>
      </c>
      <c r="N85" s="474">
        <f t="shared" si="59"/>
        <v>0</v>
      </c>
      <c r="O85" s="474">
        <f t="shared" si="59"/>
        <v>0</v>
      </c>
      <c r="P85" s="475">
        <f t="shared" si="59"/>
        <v>2266</v>
      </c>
      <c r="Q85" s="475">
        <f t="shared" si="59"/>
        <v>1932</v>
      </c>
      <c r="R85" s="475">
        <f t="shared" si="59"/>
        <v>0</v>
      </c>
      <c r="S85" s="475">
        <f t="shared" si="59"/>
        <v>0</v>
      </c>
      <c r="T85" s="475">
        <f>T82+T83+T84</f>
        <v>4198</v>
      </c>
      <c r="U85" s="476"/>
    </row>
    <row r="86" spans="1:21" ht="13.8" hidden="1">
      <c r="A86" s="436"/>
      <c r="B86" s="477"/>
      <c r="C86" s="453"/>
      <c r="D86" s="477"/>
      <c r="E86" s="477"/>
      <c r="F86" s="477"/>
      <c r="G86" s="477"/>
      <c r="H86" s="477"/>
      <c r="I86" s="477"/>
      <c r="J86" s="477"/>
      <c r="K86" s="477"/>
      <c r="L86" s="477"/>
      <c r="M86" s="477"/>
      <c r="N86" s="477"/>
      <c r="O86" s="477"/>
      <c r="P86" s="477"/>
      <c r="Q86" s="477"/>
      <c r="R86" s="477"/>
      <c r="S86" s="477"/>
      <c r="T86" s="477"/>
      <c r="U86" s="476"/>
    </row>
    <row r="87" spans="1:21" ht="13.8" thickBot="1">
      <c r="A87" s="478"/>
      <c r="B87" s="479"/>
      <c r="C87" s="479"/>
      <c r="D87" s="480" t="s">
        <v>395</v>
      </c>
      <c r="E87" s="481" t="s">
        <v>396</v>
      </c>
      <c r="F87" s="481" t="s">
        <v>397</v>
      </c>
      <c r="G87" s="481" t="s">
        <v>398</v>
      </c>
      <c r="H87" s="481" t="s">
        <v>399</v>
      </c>
      <c r="I87" s="481" t="s">
        <v>400</v>
      </c>
      <c r="J87" s="481" t="s">
        <v>401</v>
      </c>
      <c r="K87" s="481" t="s">
        <v>402</v>
      </c>
      <c r="L87" s="481" t="s">
        <v>403</v>
      </c>
      <c r="M87" s="481" t="s">
        <v>404</v>
      </c>
      <c r="N87" s="481" t="s">
        <v>405</v>
      </c>
      <c r="O87" s="481" t="s">
        <v>406</v>
      </c>
      <c r="P87" s="479"/>
      <c r="Q87" s="479"/>
      <c r="R87" s="479"/>
      <c r="S87" s="479"/>
      <c r="T87" s="479"/>
      <c r="U87" s="482"/>
    </row>
    <row r="88" spans="1:21" ht="22.8">
      <c r="A88" s="483"/>
      <c r="B88" s="484" t="s">
        <v>435</v>
      </c>
      <c r="C88" s="485"/>
      <c r="D88" s="486"/>
      <c r="E88" s="486"/>
      <c r="F88" s="486"/>
      <c r="G88" s="486"/>
      <c r="H88" s="486"/>
      <c r="I88" s="486"/>
      <c r="J88" s="486"/>
      <c r="K88" s="486"/>
      <c r="L88" s="486"/>
      <c r="M88" s="486"/>
      <c r="N88" s="486"/>
      <c r="O88" s="486"/>
      <c r="P88" s="485"/>
      <c r="Q88" s="485"/>
      <c r="R88" s="485"/>
      <c r="S88" s="485"/>
      <c r="T88" s="485"/>
      <c r="U88" s="487"/>
    </row>
    <row r="89" spans="1:21" ht="22.8">
      <c r="A89" s="488"/>
      <c r="B89" s="437"/>
      <c r="C89" s="489"/>
      <c r="D89" s="439" t="s">
        <v>395</v>
      </c>
      <c r="E89" s="440" t="s">
        <v>396</v>
      </c>
      <c r="F89" s="440" t="s">
        <v>397</v>
      </c>
      <c r="G89" s="440" t="s">
        <v>398</v>
      </c>
      <c r="H89" s="440" t="s">
        <v>399</v>
      </c>
      <c r="I89" s="440" t="s">
        <v>400</v>
      </c>
      <c r="J89" s="440" t="s">
        <v>401</v>
      </c>
      <c r="K89" s="440" t="s">
        <v>402</v>
      </c>
      <c r="L89" s="440" t="s">
        <v>403</v>
      </c>
      <c r="M89" s="440" t="s">
        <v>404</v>
      </c>
      <c r="N89" s="440" t="s">
        <v>405</v>
      </c>
      <c r="O89" s="440" t="s">
        <v>406</v>
      </c>
      <c r="P89" s="489"/>
      <c r="Q89" s="489"/>
      <c r="R89" s="489"/>
      <c r="S89" s="489"/>
      <c r="T89" s="489"/>
      <c r="U89" s="442"/>
    </row>
    <row r="90" spans="1:21" ht="14.4">
      <c r="A90" s="449"/>
      <c r="B90" s="1036" t="str">
        <f>B49</f>
        <v>FY 2020</v>
      </c>
      <c r="C90" s="1037"/>
      <c r="D90" s="490" t="s">
        <v>8</v>
      </c>
      <c r="E90" s="490" t="s">
        <v>78</v>
      </c>
      <c r="F90" s="490" t="s">
        <v>79</v>
      </c>
      <c r="G90" s="490" t="s">
        <v>80</v>
      </c>
      <c r="H90" s="490" t="s">
        <v>81</v>
      </c>
      <c r="I90" s="490" t="s">
        <v>82</v>
      </c>
      <c r="J90" s="490" t="s">
        <v>83</v>
      </c>
      <c r="K90" s="490" t="s">
        <v>84</v>
      </c>
      <c r="L90" s="490" t="s">
        <v>85</v>
      </c>
      <c r="M90" s="490" t="s">
        <v>4</v>
      </c>
      <c r="N90" s="490" t="s">
        <v>5</v>
      </c>
      <c r="O90" s="490" t="s">
        <v>6</v>
      </c>
      <c r="P90" s="491" t="s">
        <v>110</v>
      </c>
      <c r="Q90" s="491" t="s">
        <v>111</v>
      </c>
      <c r="R90" s="491" t="s">
        <v>112</v>
      </c>
      <c r="S90" s="491" t="s">
        <v>113</v>
      </c>
      <c r="T90" s="491" t="s">
        <v>114</v>
      </c>
      <c r="U90" s="448"/>
    </row>
    <row r="91" spans="1:21" ht="13.8">
      <c r="A91" s="488">
        <v>1</v>
      </c>
      <c r="B91" s="450"/>
      <c r="C91" s="401" t="s">
        <v>187</v>
      </c>
      <c r="D91" s="494">
        <f>'OpStatsTotals(DR)'!C57</f>
        <v>4</v>
      </c>
      <c r="E91" s="494">
        <f>'OpStatsTotals(DR)'!D57</f>
        <v>4</v>
      </c>
      <c r="F91" s="494">
        <f>'OpStatsTotals(DR)'!E57</f>
        <v>5</v>
      </c>
      <c r="G91" s="494">
        <f>'OpStatsTotals(DR)'!F57</f>
        <v>4</v>
      </c>
      <c r="H91" s="494">
        <f>'OpStatsTotals(DR)'!G57</f>
        <v>4</v>
      </c>
      <c r="I91" s="494">
        <f>'OpStatsTotals(DR)'!H57</f>
        <v>5</v>
      </c>
      <c r="J91" s="494">
        <f>'OpStatsTotals(DR)'!I57</f>
        <v>0</v>
      </c>
      <c r="K91" s="494">
        <f>'OpStatsTotals(DR)'!J57</f>
        <v>0</v>
      </c>
      <c r="L91" s="494">
        <f>'OpStatsTotals(DR)'!K57</f>
        <v>0</v>
      </c>
      <c r="M91" s="494">
        <f>'OpStatsTotals(DR)'!L57</f>
        <v>0</v>
      </c>
      <c r="N91" s="494">
        <f>'OpStatsTotals(DR)'!M57</f>
        <v>0</v>
      </c>
      <c r="O91" s="494">
        <f>'OpStatsTotals(DR)'!N57</f>
        <v>0</v>
      </c>
      <c r="P91" s="451">
        <f>D91+E91+F91</f>
        <v>13</v>
      </c>
      <c r="Q91" s="451">
        <f>G91+H91+I91</f>
        <v>13</v>
      </c>
      <c r="R91" s="451">
        <f>J91+K91+L91</f>
        <v>0</v>
      </c>
      <c r="S91" s="451">
        <f>M91+N91+O91</f>
        <v>0</v>
      </c>
      <c r="T91" s="451">
        <f>SUM(D91:O91)</f>
        <v>26</v>
      </c>
      <c r="U91" s="442">
        <v>1</v>
      </c>
    </row>
    <row r="92" spans="1:21" ht="13.8" hidden="1">
      <c r="A92" s="488"/>
      <c r="B92" s="492" t="s">
        <v>420</v>
      </c>
      <c r="C92" s="463"/>
      <c r="D92" s="453"/>
      <c r="E92" s="453"/>
      <c r="F92" s="453"/>
      <c r="G92" s="453"/>
      <c r="H92" s="453"/>
      <c r="I92" s="453"/>
      <c r="J92" s="453"/>
      <c r="K92" s="453"/>
      <c r="L92" s="453"/>
      <c r="M92" s="453"/>
      <c r="N92" s="453"/>
      <c r="O92" s="453"/>
      <c r="P92" s="453"/>
      <c r="Q92" s="453"/>
      <c r="R92" s="453"/>
      <c r="S92" s="453"/>
      <c r="T92" s="453"/>
      <c r="U92" s="442"/>
    </row>
    <row r="93" spans="1:21" ht="13.8" hidden="1">
      <c r="A93" s="488">
        <v>2</v>
      </c>
      <c r="B93" s="464"/>
      <c r="C93" s="408" t="s">
        <v>421</v>
      </c>
      <c r="D93" s="397"/>
      <c r="E93" s="397"/>
      <c r="F93" s="397"/>
      <c r="G93" s="397"/>
      <c r="H93" s="397"/>
      <c r="I93" s="397"/>
      <c r="J93" s="397"/>
      <c r="K93" s="397"/>
      <c r="L93" s="397"/>
      <c r="M93" s="397"/>
      <c r="N93" s="397"/>
      <c r="O93" s="397"/>
      <c r="P93" s="456">
        <f t="shared" ref="P93:P98" si="60">D93+E93+F93</f>
        <v>0</v>
      </c>
      <c r="Q93" s="456">
        <f t="shared" ref="Q93:Q98" si="61">G93+H93+I93</f>
        <v>0</v>
      </c>
      <c r="R93" s="456">
        <f t="shared" ref="R93:R98" si="62">J93+K93+L93</f>
        <v>0</v>
      </c>
      <c r="S93" s="456">
        <f t="shared" ref="S93:S98" si="63">M93+N93+O93</f>
        <v>0</v>
      </c>
      <c r="T93" s="456">
        <f>SUM(D93:O93)</f>
        <v>0</v>
      </c>
      <c r="U93" s="442">
        <f>U91+1</f>
        <v>2</v>
      </c>
    </row>
    <row r="94" spans="1:21" ht="13.8" hidden="1">
      <c r="A94" s="488">
        <v>3</v>
      </c>
      <c r="B94" s="457"/>
      <c r="C94" s="409" t="s">
        <v>1</v>
      </c>
      <c r="D94" s="397"/>
      <c r="E94" s="397"/>
      <c r="F94" s="397"/>
      <c r="G94" s="397"/>
      <c r="H94" s="397"/>
      <c r="I94" s="397"/>
      <c r="J94" s="397"/>
      <c r="K94" s="397"/>
      <c r="L94" s="397"/>
      <c r="M94" s="397"/>
      <c r="N94" s="397"/>
      <c r="O94" s="397"/>
      <c r="P94" s="451">
        <f t="shared" si="60"/>
        <v>0</v>
      </c>
      <c r="Q94" s="451">
        <f t="shared" si="61"/>
        <v>0</v>
      </c>
      <c r="R94" s="451">
        <f t="shared" si="62"/>
        <v>0</v>
      </c>
      <c r="S94" s="451">
        <f t="shared" si="63"/>
        <v>0</v>
      </c>
      <c r="T94" s="451">
        <f>SUM(D94:O94)</f>
        <v>0</v>
      </c>
      <c r="U94" s="442">
        <f>U93+1</f>
        <v>3</v>
      </c>
    </row>
    <row r="95" spans="1:21" ht="13.8" hidden="1">
      <c r="A95" s="488">
        <v>4</v>
      </c>
      <c r="B95" s="457"/>
      <c r="C95" s="409" t="s">
        <v>422</v>
      </c>
      <c r="D95" s="397"/>
      <c r="E95" s="397"/>
      <c r="F95" s="397"/>
      <c r="G95" s="397"/>
      <c r="H95" s="397"/>
      <c r="I95" s="397"/>
      <c r="J95" s="397"/>
      <c r="K95" s="397"/>
      <c r="L95" s="397"/>
      <c r="M95" s="397"/>
      <c r="N95" s="397"/>
      <c r="O95" s="397"/>
      <c r="P95" s="451">
        <f t="shared" si="60"/>
        <v>0</v>
      </c>
      <c r="Q95" s="451">
        <f t="shared" si="61"/>
        <v>0</v>
      </c>
      <c r="R95" s="451">
        <f t="shared" si="62"/>
        <v>0</v>
      </c>
      <c r="S95" s="451">
        <f t="shared" si="63"/>
        <v>0</v>
      </c>
      <c r="T95" s="451">
        <f>SUM(D95:O95)</f>
        <v>0</v>
      </c>
      <c r="U95" s="442">
        <f>U94+1</f>
        <v>4</v>
      </c>
    </row>
    <row r="96" spans="1:21" ht="13.8" hidden="1">
      <c r="A96" s="488">
        <v>5</v>
      </c>
      <c r="B96" s="457"/>
      <c r="C96" s="409" t="s">
        <v>423</v>
      </c>
      <c r="D96" s="397"/>
      <c r="E96" s="397"/>
      <c r="F96" s="397"/>
      <c r="G96" s="397"/>
      <c r="H96" s="397"/>
      <c r="I96" s="397"/>
      <c r="J96" s="397"/>
      <c r="K96" s="397"/>
      <c r="L96" s="397"/>
      <c r="M96" s="397"/>
      <c r="N96" s="397"/>
      <c r="O96" s="397"/>
      <c r="P96" s="451">
        <f t="shared" si="60"/>
        <v>0</v>
      </c>
      <c r="Q96" s="451">
        <f t="shared" si="61"/>
        <v>0</v>
      </c>
      <c r="R96" s="451">
        <f t="shared" si="62"/>
        <v>0</v>
      </c>
      <c r="S96" s="451">
        <f t="shared" si="63"/>
        <v>0</v>
      </c>
      <c r="T96" s="451">
        <f>SUM(D96:O96)</f>
        <v>0</v>
      </c>
      <c r="U96" s="442">
        <f>U95+1</f>
        <v>5</v>
      </c>
    </row>
    <row r="97" spans="1:21" ht="13.8" hidden="1">
      <c r="A97" s="488">
        <v>6</v>
      </c>
      <c r="B97" s="458"/>
      <c r="C97" s="409" t="s">
        <v>424</v>
      </c>
      <c r="D97" s="397"/>
      <c r="E97" s="397"/>
      <c r="F97" s="397"/>
      <c r="G97" s="397"/>
      <c r="H97" s="397"/>
      <c r="I97" s="397"/>
      <c r="J97" s="397"/>
      <c r="K97" s="397"/>
      <c r="L97" s="397"/>
      <c r="M97" s="397"/>
      <c r="N97" s="397"/>
      <c r="O97" s="397"/>
      <c r="P97" s="451">
        <f t="shared" si="60"/>
        <v>0</v>
      </c>
      <c r="Q97" s="451">
        <f t="shared" si="61"/>
        <v>0</v>
      </c>
      <c r="R97" s="451">
        <f t="shared" si="62"/>
        <v>0</v>
      </c>
      <c r="S97" s="451">
        <f t="shared" si="63"/>
        <v>0</v>
      </c>
      <c r="T97" s="451">
        <f>SUM(D97:O97)</f>
        <v>0</v>
      </c>
      <c r="U97" s="442">
        <f>U96+1</f>
        <v>6</v>
      </c>
    </row>
    <row r="98" spans="1:21" ht="13.8" hidden="1">
      <c r="A98" s="488"/>
      <c r="B98" s="459"/>
      <c r="C98" s="460" t="s">
        <v>425</v>
      </c>
      <c r="D98" s="461">
        <f t="shared" ref="D98" si="64">SUM(D95:D97)</f>
        <v>0</v>
      </c>
      <c r="E98" s="461">
        <f t="shared" ref="E98:O98" si="65">SUM(E95:E97)</f>
        <v>0</v>
      </c>
      <c r="F98" s="461">
        <f t="shared" si="65"/>
        <v>0</v>
      </c>
      <c r="G98" s="461">
        <f t="shared" si="65"/>
        <v>0</v>
      </c>
      <c r="H98" s="461">
        <f t="shared" si="65"/>
        <v>0</v>
      </c>
      <c r="I98" s="461">
        <f t="shared" si="65"/>
        <v>0</v>
      </c>
      <c r="J98" s="461">
        <f t="shared" si="65"/>
        <v>0</v>
      </c>
      <c r="K98" s="461">
        <f t="shared" si="65"/>
        <v>0</v>
      </c>
      <c r="L98" s="461">
        <f t="shared" si="65"/>
        <v>0</v>
      </c>
      <c r="M98" s="461">
        <f t="shared" si="65"/>
        <v>0</v>
      </c>
      <c r="N98" s="461">
        <f t="shared" si="65"/>
        <v>0</v>
      </c>
      <c r="O98" s="461">
        <f t="shared" si="65"/>
        <v>0</v>
      </c>
      <c r="P98" s="451">
        <f t="shared" si="60"/>
        <v>0</v>
      </c>
      <c r="Q98" s="451">
        <f t="shared" si="61"/>
        <v>0</v>
      </c>
      <c r="R98" s="451">
        <f t="shared" si="62"/>
        <v>0</v>
      </c>
      <c r="S98" s="451">
        <f t="shared" si="63"/>
        <v>0</v>
      </c>
      <c r="T98" s="451">
        <f>SUM(T95:T97)</f>
        <v>0</v>
      </c>
      <c r="U98" s="442"/>
    </row>
    <row r="99" spans="1:21" ht="13.8">
      <c r="A99" s="488"/>
      <c r="B99" s="452" t="s">
        <v>426</v>
      </c>
      <c r="C99" s="453"/>
      <c r="D99" s="463"/>
      <c r="E99" s="463"/>
      <c r="F99" s="463"/>
      <c r="G99" s="463"/>
      <c r="H99" s="463"/>
      <c r="I99" s="463"/>
      <c r="J99" s="463"/>
      <c r="K99" s="463"/>
      <c r="L99" s="463"/>
      <c r="M99" s="463"/>
      <c r="N99" s="463"/>
      <c r="O99" s="463"/>
      <c r="P99" s="463"/>
      <c r="Q99" s="463"/>
      <c r="R99" s="463"/>
      <c r="S99" s="463"/>
      <c r="T99" s="463"/>
      <c r="U99" s="442"/>
    </row>
    <row r="100" spans="1:21" ht="13.8">
      <c r="A100" s="488">
        <v>7</v>
      </c>
      <c r="B100" s="455"/>
      <c r="C100" s="408" t="s">
        <v>421</v>
      </c>
      <c r="D100" s="399">
        <f>'OpStatsTotals(DR)'!C61</f>
        <v>92</v>
      </c>
      <c r="E100" s="399">
        <f>'OpStatsTotals(DR)'!D61</f>
        <v>78</v>
      </c>
      <c r="F100" s="399">
        <f>'OpStatsTotals(DR)'!E61</f>
        <v>119</v>
      </c>
      <c r="G100" s="399">
        <f>'OpStatsTotals(DR)'!F61</f>
        <v>80</v>
      </c>
      <c r="H100" s="399">
        <f>'OpStatsTotals(DR)'!G61</f>
        <v>99</v>
      </c>
      <c r="I100" s="399">
        <f>'OpStatsTotals(DR)'!H61</f>
        <v>99</v>
      </c>
      <c r="J100" s="399">
        <f>'OpStatsTotals(DR)'!I61</f>
        <v>0</v>
      </c>
      <c r="K100" s="399">
        <f>'OpStatsTotals(DR)'!J61</f>
        <v>0</v>
      </c>
      <c r="L100" s="399">
        <f>'OpStatsTotals(DR)'!K61</f>
        <v>0</v>
      </c>
      <c r="M100" s="399">
        <f>'OpStatsTotals(DR)'!L61</f>
        <v>0</v>
      </c>
      <c r="N100" s="399">
        <f>'OpStatsTotals(DR)'!M61</f>
        <v>0</v>
      </c>
      <c r="O100" s="399">
        <f>'OpStatsTotals(DR)'!N61</f>
        <v>0</v>
      </c>
      <c r="P100" s="456">
        <f t="shared" ref="P100:P105" si="66">D100+E100+F100</f>
        <v>289</v>
      </c>
      <c r="Q100" s="456">
        <f t="shared" ref="Q100:Q105" si="67">G100+H100+I100</f>
        <v>278</v>
      </c>
      <c r="R100" s="456">
        <f t="shared" ref="R100:R105" si="68">J100+K100+L100</f>
        <v>0</v>
      </c>
      <c r="S100" s="456">
        <f t="shared" ref="S100:S105" si="69">M100+N100+O100</f>
        <v>0</v>
      </c>
      <c r="T100" s="456">
        <f t="shared" ref="T100:T105" si="70">SUM(D100:O100)</f>
        <v>567</v>
      </c>
      <c r="U100" s="442">
        <f>U97+1</f>
        <v>7</v>
      </c>
    </row>
    <row r="101" spans="1:21" ht="13.8">
      <c r="A101" s="488">
        <v>8</v>
      </c>
      <c r="B101" s="457"/>
      <c r="C101" s="409" t="s">
        <v>1</v>
      </c>
      <c r="D101" s="399">
        <f>'OpStatsTotals(DR)'!C64</f>
        <v>1391</v>
      </c>
      <c r="E101" s="399">
        <f>'OpStatsTotals(DR)'!D64</f>
        <v>1260</v>
      </c>
      <c r="F101" s="399">
        <f>'OpStatsTotals(DR)'!E64</f>
        <v>1896</v>
      </c>
      <c r="G101" s="399">
        <f>'OpStatsTotals(DR)'!F64</f>
        <v>1233</v>
      </c>
      <c r="H101" s="399">
        <f>'OpStatsTotals(DR)'!G64</f>
        <v>1446</v>
      </c>
      <c r="I101" s="399">
        <f>'OpStatsTotals(DR)'!H64</f>
        <v>1542</v>
      </c>
      <c r="J101" s="399">
        <f>'OpStatsTotals(DR)'!I64</f>
        <v>0</v>
      </c>
      <c r="K101" s="399">
        <f>'OpStatsTotals(DR)'!J64</f>
        <v>0</v>
      </c>
      <c r="L101" s="399">
        <f>'OpStatsTotals(DR)'!K64</f>
        <v>0</v>
      </c>
      <c r="M101" s="399">
        <f>'OpStatsTotals(DR)'!L64</f>
        <v>0</v>
      </c>
      <c r="N101" s="399">
        <f>'OpStatsTotals(DR)'!M64</f>
        <v>0</v>
      </c>
      <c r="O101" s="399">
        <f>'OpStatsTotals(DR)'!N64</f>
        <v>0</v>
      </c>
      <c r="P101" s="451">
        <f t="shared" si="66"/>
        <v>4547</v>
      </c>
      <c r="Q101" s="451">
        <f t="shared" si="67"/>
        <v>4221</v>
      </c>
      <c r="R101" s="451">
        <f t="shared" si="68"/>
        <v>0</v>
      </c>
      <c r="S101" s="451">
        <f t="shared" si="69"/>
        <v>0</v>
      </c>
      <c r="T101" s="451">
        <f t="shared" si="70"/>
        <v>8768</v>
      </c>
      <c r="U101" s="442">
        <f>U100+1</f>
        <v>8</v>
      </c>
    </row>
    <row r="102" spans="1:21" ht="13.8">
      <c r="A102" s="488">
        <v>9</v>
      </c>
      <c r="B102" s="457"/>
      <c r="C102" s="409" t="s">
        <v>422</v>
      </c>
      <c r="D102" s="399">
        <f>'OpStatsTotals(DR)'!C76</f>
        <v>129</v>
      </c>
      <c r="E102" s="399">
        <f>'OpStatsTotals(DR)'!D76</f>
        <v>93</v>
      </c>
      <c r="F102" s="399">
        <f>'OpStatsTotals(DR)'!E76</f>
        <v>147</v>
      </c>
      <c r="G102" s="399">
        <f>'OpStatsTotals(DR)'!F76</f>
        <v>104</v>
      </c>
      <c r="H102" s="399">
        <f>'OpStatsTotals(DR)'!G76</f>
        <v>103</v>
      </c>
      <c r="I102" s="399">
        <f>'OpStatsTotals(DR)'!H76</f>
        <v>119</v>
      </c>
      <c r="J102" s="399">
        <f>'OpStatsTotals(DR)'!I76</f>
        <v>0</v>
      </c>
      <c r="K102" s="399">
        <f>'OpStatsTotals(DR)'!J76</f>
        <v>0</v>
      </c>
      <c r="L102" s="399">
        <f>'OpStatsTotals(DR)'!K76</f>
        <v>0</v>
      </c>
      <c r="M102" s="399">
        <f>'OpStatsTotals(DR)'!L76</f>
        <v>0</v>
      </c>
      <c r="N102" s="399">
        <f>'OpStatsTotals(DR)'!M76</f>
        <v>0</v>
      </c>
      <c r="O102" s="399">
        <f>'OpStatsTotals(DR)'!N76</f>
        <v>0</v>
      </c>
      <c r="P102" s="451">
        <f t="shared" si="66"/>
        <v>369</v>
      </c>
      <c r="Q102" s="451">
        <f t="shared" si="67"/>
        <v>326</v>
      </c>
      <c r="R102" s="451">
        <f t="shared" si="68"/>
        <v>0</v>
      </c>
      <c r="S102" s="451">
        <f t="shared" si="69"/>
        <v>0</v>
      </c>
      <c r="T102" s="451">
        <f t="shared" si="70"/>
        <v>695</v>
      </c>
      <c r="U102" s="442">
        <f>U101+1</f>
        <v>9</v>
      </c>
    </row>
    <row r="103" spans="1:21" ht="13.8">
      <c r="A103" s="488">
        <v>10</v>
      </c>
      <c r="B103" s="457"/>
      <c r="C103" s="409" t="s">
        <v>423</v>
      </c>
      <c r="D103" s="396"/>
      <c r="E103" s="399"/>
      <c r="F103" s="399"/>
      <c r="G103" s="399"/>
      <c r="H103" s="399"/>
      <c r="I103" s="399"/>
      <c r="J103" s="399"/>
      <c r="K103" s="399"/>
      <c r="L103" s="399"/>
      <c r="M103" s="399"/>
      <c r="N103" s="399"/>
      <c r="O103" s="399"/>
      <c r="P103" s="451">
        <f t="shared" si="66"/>
        <v>0</v>
      </c>
      <c r="Q103" s="451">
        <f t="shared" si="67"/>
        <v>0</v>
      </c>
      <c r="R103" s="451">
        <f t="shared" si="68"/>
        <v>0</v>
      </c>
      <c r="S103" s="451">
        <f t="shared" si="69"/>
        <v>0</v>
      </c>
      <c r="T103" s="451">
        <f t="shared" si="70"/>
        <v>0</v>
      </c>
      <c r="U103" s="442">
        <f>U102+1</f>
        <v>10</v>
      </c>
    </row>
    <row r="104" spans="1:21" ht="13.8">
      <c r="A104" s="488">
        <v>11</v>
      </c>
      <c r="B104" s="457"/>
      <c r="C104" s="409" t="s">
        <v>424</v>
      </c>
      <c r="D104" s="396"/>
      <c r="E104" s="399"/>
      <c r="F104" s="399"/>
      <c r="G104" s="399"/>
      <c r="H104" s="399"/>
      <c r="I104" s="399"/>
      <c r="J104" s="399"/>
      <c r="K104" s="399"/>
      <c r="L104" s="399"/>
      <c r="M104" s="399"/>
      <c r="N104" s="399"/>
      <c r="O104" s="399"/>
      <c r="P104" s="451">
        <f t="shared" si="66"/>
        <v>0</v>
      </c>
      <c r="Q104" s="451">
        <f t="shared" si="67"/>
        <v>0</v>
      </c>
      <c r="R104" s="451">
        <f t="shared" si="68"/>
        <v>0</v>
      </c>
      <c r="S104" s="451">
        <f t="shared" si="69"/>
        <v>0</v>
      </c>
      <c r="T104" s="451">
        <f t="shared" si="70"/>
        <v>0</v>
      </c>
      <c r="U104" s="442">
        <f>U103+1</f>
        <v>11</v>
      </c>
    </row>
    <row r="105" spans="1:21" ht="13.8">
      <c r="A105" s="488"/>
      <c r="B105" s="493"/>
      <c r="C105" s="460" t="s">
        <v>425</v>
      </c>
      <c r="D105" s="461">
        <f>SUM(D102:D104)</f>
        <v>129</v>
      </c>
      <c r="E105" s="451">
        <f t="shared" ref="E105:O105" si="71">SUM(E102:E104)</f>
        <v>93</v>
      </c>
      <c r="F105" s="451">
        <f t="shared" si="71"/>
        <v>147</v>
      </c>
      <c r="G105" s="451">
        <f t="shared" si="71"/>
        <v>104</v>
      </c>
      <c r="H105" s="451">
        <f t="shared" si="71"/>
        <v>103</v>
      </c>
      <c r="I105" s="451">
        <f t="shared" si="71"/>
        <v>119</v>
      </c>
      <c r="J105" s="451">
        <f t="shared" si="71"/>
        <v>0</v>
      </c>
      <c r="K105" s="451">
        <f t="shared" si="71"/>
        <v>0</v>
      </c>
      <c r="L105" s="451">
        <f t="shared" si="71"/>
        <v>0</v>
      </c>
      <c r="M105" s="451">
        <f t="shared" si="71"/>
        <v>0</v>
      </c>
      <c r="N105" s="451">
        <f t="shared" si="71"/>
        <v>0</v>
      </c>
      <c r="O105" s="451">
        <f t="shared" si="71"/>
        <v>0</v>
      </c>
      <c r="P105" s="451">
        <f t="shared" si="66"/>
        <v>369</v>
      </c>
      <c r="Q105" s="451">
        <f t="shared" si="67"/>
        <v>326</v>
      </c>
      <c r="R105" s="451">
        <f t="shared" si="68"/>
        <v>0</v>
      </c>
      <c r="S105" s="451">
        <f t="shared" si="69"/>
        <v>0</v>
      </c>
      <c r="T105" s="451">
        <f t="shared" si="70"/>
        <v>695</v>
      </c>
      <c r="U105" s="442"/>
    </row>
    <row r="106" spans="1:21" ht="13.8" hidden="1">
      <c r="A106" s="488"/>
      <c r="B106" s="452" t="s">
        <v>427</v>
      </c>
      <c r="C106" s="453"/>
      <c r="D106" s="463"/>
      <c r="E106" s="463"/>
      <c r="F106" s="463"/>
      <c r="G106" s="463"/>
      <c r="H106" s="463"/>
      <c r="I106" s="463"/>
      <c r="J106" s="463"/>
      <c r="K106" s="463"/>
      <c r="L106" s="463"/>
      <c r="M106" s="463"/>
      <c r="N106" s="463"/>
      <c r="O106" s="463"/>
      <c r="P106" s="463"/>
      <c r="Q106" s="463"/>
      <c r="R106" s="463"/>
      <c r="S106" s="463"/>
      <c r="T106" s="463"/>
      <c r="U106" s="442"/>
    </row>
    <row r="107" spans="1:21" ht="13.8" hidden="1">
      <c r="A107" s="488">
        <v>12</v>
      </c>
      <c r="B107" s="455"/>
      <c r="C107" s="408" t="s">
        <v>421</v>
      </c>
      <c r="D107" s="397"/>
      <c r="E107" s="397"/>
      <c r="F107" s="397"/>
      <c r="G107" s="397"/>
      <c r="H107" s="397"/>
      <c r="I107" s="397"/>
      <c r="J107" s="397"/>
      <c r="K107" s="397"/>
      <c r="L107" s="397"/>
      <c r="M107" s="397"/>
      <c r="N107" s="397"/>
      <c r="O107" s="397"/>
      <c r="P107" s="456">
        <f t="shared" ref="P107:P112" si="72">D107+E107+F107</f>
        <v>0</v>
      </c>
      <c r="Q107" s="456">
        <f t="shared" ref="Q107:Q112" si="73">G107+H107+I107</f>
        <v>0</v>
      </c>
      <c r="R107" s="456">
        <f t="shared" ref="R107:R112" si="74">J107+K107+L107</f>
        <v>0</v>
      </c>
      <c r="S107" s="456">
        <f t="shared" ref="S107:S112" si="75">M107+N107+O107</f>
        <v>0</v>
      </c>
      <c r="T107" s="456">
        <f t="shared" ref="T107:T112" si="76">SUM(D107:O107)</f>
        <v>0</v>
      </c>
      <c r="U107" s="442">
        <f>U104+1</f>
        <v>12</v>
      </c>
    </row>
    <row r="108" spans="1:21" ht="13.8" hidden="1">
      <c r="A108" s="488">
        <v>13</v>
      </c>
      <c r="B108" s="457"/>
      <c r="C108" s="409" t="s">
        <v>1</v>
      </c>
      <c r="D108" s="397"/>
      <c r="E108" s="397"/>
      <c r="F108" s="397"/>
      <c r="G108" s="397"/>
      <c r="H108" s="397"/>
      <c r="I108" s="397"/>
      <c r="J108" s="397"/>
      <c r="K108" s="397"/>
      <c r="L108" s="397"/>
      <c r="M108" s="397"/>
      <c r="N108" s="397"/>
      <c r="O108" s="397"/>
      <c r="P108" s="451">
        <f t="shared" si="72"/>
        <v>0</v>
      </c>
      <c r="Q108" s="451">
        <f t="shared" si="73"/>
        <v>0</v>
      </c>
      <c r="R108" s="451">
        <f t="shared" si="74"/>
        <v>0</v>
      </c>
      <c r="S108" s="451">
        <f t="shared" si="75"/>
        <v>0</v>
      </c>
      <c r="T108" s="451">
        <f t="shared" si="76"/>
        <v>0</v>
      </c>
      <c r="U108" s="442">
        <f>U107+1</f>
        <v>13</v>
      </c>
    </row>
    <row r="109" spans="1:21" ht="13.8" hidden="1">
      <c r="A109" s="488">
        <v>14</v>
      </c>
      <c r="B109" s="457"/>
      <c r="C109" s="409" t="s">
        <v>422</v>
      </c>
      <c r="D109" s="397"/>
      <c r="E109" s="397"/>
      <c r="F109" s="397"/>
      <c r="G109" s="397"/>
      <c r="H109" s="397"/>
      <c r="I109" s="397"/>
      <c r="J109" s="397"/>
      <c r="K109" s="397"/>
      <c r="L109" s="397"/>
      <c r="M109" s="397"/>
      <c r="N109" s="397"/>
      <c r="O109" s="397"/>
      <c r="P109" s="451">
        <f t="shared" si="72"/>
        <v>0</v>
      </c>
      <c r="Q109" s="451">
        <f t="shared" si="73"/>
        <v>0</v>
      </c>
      <c r="R109" s="451">
        <f t="shared" si="74"/>
        <v>0</v>
      </c>
      <c r="S109" s="451">
        <f t="shared" si="75"/>
        <v>0</v>
      </c>
      <c r="T109" s="451">
        <f t="shared" si="76"/>
        <v>0</v>
      </c>
      <c r="U109" s="442">
        <f>U108+1</f>
        <v>14</v>
      </c>
    </row>
    <row r="110" spans="1:21" ht="13.8" hidden="1">
      <c r="A110" s="488">
        <v>15</v>
      </c>
      <c r="B110" s="457"/>
      <c r="C110" s="409" t="s">
        <v>423</v>
      </c>
      <c r="D110" s="397"/>
      <c r="E110" s="397"/>
      <c r="F110" s="397"/>
      <c r="G110" s="397"/>
      <c r="H110" s="397"/>
      <c r="I110" s="397"/>
      <c r="J110" s="397"/>
      <c r="K110" s="397"/>
      <c r="L110" s="397"/>
      <c r="M110" s="397"/>
      <c r="N110" s="397"/>
      <c r="O110" s="397"/>
      <c r="P110" s="451">
        <f t="shared" si="72"/>
        <v>0</v>
      </c>
      <c r="Q110" s="451">
        <f t="shared" si="73"/>
        <v>0</v>
      </c>
      <c r="R110" s="451">
        <f t="shared" si="74"/>
        <v>0</v>
      </c>
      <c r="S110" s="451">
        <f t="shared" si="75"/>
        <v>0</v>
      </c>
      <c r="T110" s="451">
        <f t="shared" si="76"/>
        <v>0</v>
      </c>
      <c r="U110" s="442">
        <f>U109+1</f>
        <v>15</v>
      </c>
    </row>
    <row r="111" spans="1:21" ht="13.8" hidden="1">
      <c r="A111" s="488">
        <v>16</v>
      </c>
      <c r="B111" s="457"/>
      <c r="C111" s="409" t="s">
        <v>424</v>
      </c>
      <c r="D111" s="397"/>
      <c r="E111" s="397"/>
      <c r="F111" s="397"/>
      <c r="G111" s="397"/>
      <c r="H111" s="397"/>
      <c r="I111" s="397"/>
      <c r="J111" s="397"/>
      <c r="K111" s="397"/>
      <c r="L111" s="397"/>
      <c r="M111" s="397"/>
      <c r="N111" s="397"/>
      <c r="O111" s="397"/>
      <c r="P111" s="451">
        <f t="shared" si="72"/>
        <v>0</v>
      </c>
      <c r="Q111" s="451">
        <f t="shared" si="73"/>
        <v>0</v>
      </c>
      <c r="R111" s="451">
        <f t="shared" si="74"/>
        <v>0</v>
      </c>
      <c r="S111" s="451">
        <f t="shared" si="75"/>
        <v>0</v>
      </c>
      <c r="T111" s="451">
        <f t="shared" si="76"/>
        <v>0</v>
      </c>
      <c r="U111" s="442">
        <f>U110+1</f>
        <v>16</v>
      </c>
    </row>
    <row r="112" spans="1:21" ht="13.8" hidden="1">
      <c r="A112" s="488"/>
      <c r="B112" s="459"/>
      <c r="C112" s="460" t="s">
        <v>425</v>
      </c>
      <c r="D112" s="461">
        <f t="shared" ref="D112:O112" si="77">SUM(D109:D111)</f>
        <v>0</v>
      </c>
      <c r="E112" s="451">
        <f t="shared" si="77"/>
        <v>0</v>
      </c>
      <c r="F112" s="451">
        <f t="shared" si="77"/>
        <v>0</v>
      </c>
      <c r="G112" s="451">
        <f t="shared" si="77"/>
        <v>0</v>
      </c>
      <c r="H112" s="451">
        <f t="shared" si="77"/>
        <v>0</v>
      </c>
      <c r="I112" s="451">
        <f t="shared" si="77"/>
        <v>0</v>
      </c>
      <c r="J112" s="451">
        <f t="shared" si="77"/>
        <v>0</v>
      </c>
      <c r="K112" s="451">
        <f t="shared" si="77"/>
        <v>0</v>
      </c>
      <c r="L112" s="451">
        <f t="shared" si="77"/>
        <v>0</v>
      </c>
      <c r="M112" s="451">
        <f t="shared" si="77"/>
        <v>0</v>
      </c>
      <c r="N112" s="451">
        <f t="shared" si="77"/>
        <v>0</v>
      </c>
      <c r="O112" s="451">
        <f t="shared" si="77"/>
        <v>0</v>
      </c>
      <c r="P112" s="451">
        <f t="shared" si="72"/>
        <v>0</v>
      </c>
      <c r="Q112" s="451">
        <f t="shared" si="73"/>
        <v>0</v>
      </c>
      <c r="R112" s="451">
        <f t="shared" si="74"/>
        <v>0</v>
      </c>
      <c r="S112" s="451">
        <f t="shared" si="75"/>
        <v>0</v>
      </c>
      <c r="T112" s="451">
        <f t="shared" si="76"/>
        <v>0</v>
      </c>
      <c r="U112" s="442"/>
    </row>
    <row r="113" spans="1:21" ht="13.8" hidden="1">
      <c r="A113" s="436"/>
      <c r="B113" s="452" t="s">
        <v>428</v>
      </c>
      <c r="C113" s="453"/>
      <c r="D113" s="454"/>
      <c r="E113" s="454"/>
      <c r="F113" s="454"/>
      <c r="G113" s="454"/>
      <c r="H113" s="454"/>
      <c r="I113" s="454"/>
      <c r="J113" s="454"/>
      <c r="K113" s="454"/>
      <c r="L113" s="454"/>
      <c r="M113" s="454"/>
      <c r="N113" s="454"/>
      <c r="O113" s="454"/>
      <c r="P113" s="454"/>
      <c r="Q113" s="454"/>
      <c r="R113" s="454"/>
      <c r="S113" s="454"/>
      <c r="T113" s="454"/>
      <c r="U113" s="442"/>
    </row>
    <row r="114" spans="1:21" ht="13.8" hidden="1">
      <c r="A114" s="436">
        <v>17</v>
      </c>
      <c r="B114" s="464"/>
      <c r="C114" s="408" t="s">
        <v>421</v>
      </c>
      <c r="D114" s="396"/>
      <c r="E114" s="396"/>
      <c r="F114" s="396"/>
      <c r="G114" s="396"/>
      <c r="H114" s="396"/>
      <c r="I114" s="396"/>
      <c r="J114" s="396"/>
      <c r="K114" s="396"/>
      <c r="L114" s="396"/>
      <c r="M114" s="396"/>
      <c r="N114" s="396"/>
      <c r="O114" s="396"/>
      <c r="P114" s="456">
        <f t="shared" ref="P114:P119" si="78">D114+E114+F114</f>
        <v>0</v>
      </c>
      <c r="Q114" s="456">
        <f t="shared" ref="Q114:Q119" si="79">G114+H114+I114</f>
        <v>0</v>
      </c>
      <c r="R114" s="456">
        <f t="shared" ref="R114:R119" si="80">J114+K114+L114</f>
        <v>0</v>
      </c>
      <c r="S114" s="456">
        <f t="shared" ref="S114:S119" si="81">M114+N114+O114</f>
        <v>0</v>
      </c>
      <c r="T114" s="456">
        <f t="shared" ref="T114:T119" si="82">SUM(D114:O114)</f>
        <v>0</v>
      </c>
      <c r="U114" s="465">
        <f>U111+1</f>
        <v>17</v>
      </c>
    </row>
    <row r="115" spans="1:21" ht="13.8" hidden="1">
      <c r="A115" s="436">
        <v>18</v>
      </c>
      <c r="B115" s="457"/>
      <c r="C115" s="409" t="s">
        <v>1</v>
      </c>
      <c r="D115" s="396"/>
      <c r="E115" s="396"/>
      <c r="F115" s="396"/>
      <c r="G115" s="396"/>
      <c r="H115" s="396"/>
      <c r="I115" s="396"/>
      <c r="J115" s="396"/>
      <c r="K115" s="396"/>
      <c r="L115" s="396"/>
      <c r="M115" s="396"/>
      <c r="N115" s="396"/>
      <c r="O115" s="396"/>
      <c r="P115" s="451">
        <f t="shared" si="78"/>
        <v>0</v>
      </c>
      <c r="Q115" s="451">
        <f t="shared" si="79"/>
        <v>0</v>
      </c>
      <c r="R115" s="451">
        <f t="shared" si="80"/>
        <v>0</v>
      </c>
      <c r="S115" s="451">
        <f t="shared" si="81"/>
        <v>0</v>
      </c>
      <c r="T115" s="451">
        <f t="shared" si="82"/>
        <v>0</v>
      </c>
      <c r="U115" s="465">
        <f>U114+1</f>
        <v>18</v>
      </c>
    </row>
    <row r="116" spans="1:21" ht="13.8" hidden="1">
      <c r="A116" s="436">
        <v>19</v>
      </c>
      <c r="B116" s="457"/>
      <c r="C116" s="409" t="s">
        <v>422</v>
      </c>
      <c r="D116" s="396"/>
      <c r="E116" s="396"/>
      <c r="F116" s="396"/>
      <c r="G116" s="396"/>
      <c r="H116" s="396"/>
      <c r="I116" s="396"/>
      <c r="J116" s="396"/>
      <c r="K116" s="396"/>
      <c r="L116" s="396"/>
      <c r="M116" s="396"/>
      <c r="N116" s="396"/>
      <c r="O116" s="396"/>
      <c r="P116" s="451">
        <f t="shared" si="78"/>
        <v>0</v>
      </c>
      <c r="Q116" s="451">
        <f t="shared" si="79"/>
        <v>0</v>
      </c>
      <c r="R116" s="451">
        <f t="shared" si="80"/>
        <v>0</v>
      </c>
      <c r="S116" s="451">
        <f t="shared" si="81"/>
        <v>0</v>
      </c>
      <c r="T116" s="451">
        <f t="shared" si="82"/>
        <v>0</v>
      </c>
      <c r="U116" s="465">
        <f>U115+1</f>
        <v>19</v>
      </c>
    </row>
    <row r="117" spans="1:21" ht="13.8" hidden="1">
      <c r="A117" s="436">
        <v>20</v>
      </c>
      <c r="B117" s="457"/>
      <c r="C117" s="409" t="s">
        <v>423</v>
      </c>
      <c r="D117" s="396"/>
      <c r="E117" s="396"/>
      <c r="F117" s="396"/>
      <c r="G117" s="396"/>
      <c r="H117" s="396"/>
      <c r="I117" s="396"/>
      <c r="J117" s="396"/>
      <c r="K117" s="396"/>
      <c r="L117" s="396"/>
      <c r="M117" s="396"/>
      <c r="N117" s="396"/>
      <c r="O117" s="396"/>
      <c r="P117" s="451">
        <f t="shared" si="78"/>
        <v>0</v>
      </c>
      <c r="Q117" s="451">
        <f t="shared" si="79"/>
        <v>0</v>
      </c>
      <c r="R117" s="451">
        <f t="shared" si="80"/>
        <v>0</v>
      </c>
      <c r="S117" s="451">
        <f t="shared" si="81"/>
        <v>0</v>
      </c>
      <c r="T117" s="451">
        <f t="shared" si="82"/>
        <v>0</v>
      </c>
      <c r="U117" s="465">
        <f>U116+1</f>
        <v>20</v>
      </c>
    </row>
    <row r="118" spans="1:21" ht="13.8" hidden="1">
      <c r="A118" s="436">
        <v>21</v>
      </c>
      <c r="B118" s="458"/>
      <c r="C118" s="409" t="s">
        <v>424</v>
      </c>
      <c r="D118" s="396"/>
      <c r="E118" s="396"/>
      <c r="F118" s="396"/>
      <c r="G118" s="396"/>
      <c r="H118" s="396"/>
      <c r="I118" s="396"/>
      <c r="J118" s="396"/>
      <c r="K118" s="396"/>
      <c r="L118" s="396"/>
      <c r="M118" s="396"/>
      <c r="N118" s="396"/>
      <c r="O118" s="396"/>
      <c r="P118" s="451">
        <f t="shared" si="78"/>
        <v>0</v>
      </c>
      <c r="Q118" s="451">
        <f t="shared" si="79"/>
        <v>0</v>
      </c>
      <c r="R118" s="451">
        <f t="shared" si="80"/>
        <v>0</v>
      </c>
      <c r="S118" s="451">
        <f t="shared" si="81"/>
        <v>0</v>
      </c>
      <c r="T118" s="451">
        <f t="shared" si="82"/>
        <v>0</v>
      </c>
      <c r="U118" s="465">
        <f>U117+1</f>
        <v>21</v>
      </c>
    </row>
    <row r="119" spans="1:21" ht="13.8" hidden="1">
      <c r="A119" s="436"/>
      <c r="B119" s="466"/>
      <c r="C119" s="460" t="s">
        <v>429</v>
      </c>
      <c r="D119" s="461">
        <f t="shared" ref="D119:O119" si="83">SUM(D116:D118)</f>
        <v>0</v>
      </c>
      <c r="E119" s="451">
        <f t="shared" si="83"/>
        <v>0</v>
      </c>
      <c r="F119" s="451">
        <f t="shared" si="83"/>
        <v>0</v>
      </c>
      <c r="G119" s="451">
        <f t="shared" si="83"/>
        <v>0</v>
      </c>
      <c r="H119" s="451">
        <f t="shared" si="83"/>
        <v>0</v>
      </c>
      <c r="I119" s="451">
        <f t="shared" si="83"/>
        <v>0</v>
      </c>
      <c r="J119" s="451">
        <f t="shared" si="83"/>
        <v>0</v>
      </c>
      <c r="K119" s="451">
        <f t="shared" si="83"/>
        <v>0</v>
      </c>
      <c r="L119" s="451">
        <f t="shared" si="83"/>
        <v>0</v>
      </c>
      <c r="M119" s="451">
        <f t="shared" si="83"/>
        <v>0</v>
      </c>
      <c r="N119" s="451">
        <f t="shared" si="83"/>
        <v>0</v>
      </c>
      <c r="O119" s="451">
        <f t="shared" si="83"/>
        <v>0</v>
      </c>
      <c r="P119" s="451">
        <f t="shared" si="78"/>
        <v>0</v>
      </c>
      <c r="Q119" s="451">
        <f t="shared" si="79"/>
        <v>0</v>
      </c>
      <c r="R119" s="451">
        <f t="shared" si="80"/>
        <v>0</v>
      </c>
      <c r="S119" s="451">
        <f t="shared" si="81"/>
        <v>0</v>
      </c>
      <c r="T119" s="451">
        <f t="shared" si="82"/>
        <v>0</v>
      </c>
      <c r="U119" s="442"/>
    </row>
    <row r="120" spans="1:21" ht="13.8" hidden="1">
      <c r="A120" s="436"/>
      <c r="B120" s="452" t="s">
        <v>430</v>
      </c>
      <c r="C120" s="453"/>
      <c r="D120" s="463"/>
      <c r="E120" s="463"/>
      <c r="F120" s="463"/>
      <c r="G120" s="463"/>
      <c r="H120" s="463"/>
      <c r="I120" s="463"/>
      <c r="J120" s="463"/>
      <c r="K120" s="463"/>
      <c r="L120" s="463"/>
      <c r="M120" s="463"/>
      <c r="N120" s="463"/>
      <c r="O120" s="463"/>
      <c r="P120" s="463"/>
      <c r="Q120" s="463"/>
      <c r="R120" s="463"/>
      <c r="S120" s="463"/>
      <c r="T120" s="463"/>
      <c r="U120" s="442"/>
    </row>
    <row r="121" spans="1:21" ht="13.8" hidden="1">
      <c r="A121" s="436"/>
      <c r="B121" s="467"/>
      <c r="C121" s="468" t="s">
        <v>421</v>
      </c>
      <c r="D121" s="469">
        <f>D93+D100+D107+D114</f>
        <v>92</v>
      </c>
      <c r="E121" s="469">
        <f t="shared" ref="E121:T121" si="84">E93+E100+E107+E114</f>
        <v>78</v>
      </c>
      <c r="F121" s="469">
        <f t="shared" si="84"/>
        <v>119</v>
      </c>
      <c r="G121" s="469">
        <f t="shared" si="84"/>
        <v>80</v>
      </c>
      <c r="H121" s="469">
        <f t="shared" si="84"/>
        <v>99</v>
      </c>
      <c r="I121" s="469">
        <f t="shared" si="84"/>
        <v>99</v>
      </c>
      <c r="J121" s="469">
        <f t="shared" si="84"/>
        <v>0</v>
      </c>
      <c r="K121" s="469">
        <f t="shared" si="84"/>
        <v>0</v>
      </c>
      <c r="L121" s="469">
        <f t="shared" si="84"/>
        <v>0</v>
      </c>
      <c r="M121" s="469">
        <f>M93+M100+M107+M114</f>
        <v>0</v>
      </c>
      <c r="N121" s="469">
        <f t="shared" si="84"/>
        <v>0</v>
      </c>
      <c r="O121" s="469">
        <f t="shared" si="84"/>
        <v>0</v>
      </c>
      <c r="P121" s="469">
        <f t="shared" si="84"/>
        <v>289</v>
      </c>
      <c r="Q121" s="469">
        <f t="shared" si="84"/>
        <v>278</v>
      </c>
      <c r="R121" s="469">
        <f t="shared" si="84"/>
        <v>0</v>
      </c>
      <c r="S121" s="469">
        <f t="shared" si="84"/>
        <v>0</v>
      </c>
      <c r="T121" s="469">
        <f t="shared" si="84"/>
        <v>567</v>
      </c>
      <c r="U121" s="442"/>
    </row>
    <row r="122" spans="1:21" ht="13.8" hidden="1">
      <c r="A122" s="436"/>
      <c r="B122" s="470"/>
      <c r="C122" s="471" t="s">
        <v>1</v>
      </c>
      <c r="D122" s="469">
        <f t="shared" ref="D122:T125" si="85">D94+D101+D108+D115</f>
        <v>1391</v>
      </c>
      <c r="E122" s="469">
        <f t="shared" si="85"/>
        <v>1260</v>
      </c>
      <c r="F122" s="469">
        <f t="shared" si="85"/>
        <v>1896</v>
      </c>
      <c r="G122" s="469">
        <f t="shared" si="85"/>
        <v>1233</v>
      </c>
      <c r="H122" s="469">
        <f t="shared" si="85"/>
        <v>1446</v>
      </c>
      <c r="I122" s="469">
        <f t="shared" si="85"/>
        <v>1542</v>
      </c>
      <c r="J122" s="469">
        <f t="shared" si="85"/>
        <v>0</v>
      </c>
      <c r="K122" s="469">
        <f t="shared" si="85"/>
        <v>0</v>
      </c>
      <c r="L122" s="469">
        <f t="shared" si="85"/>
        <v>0</v>
      </c>
      <c r="M122" s="469">
        <f t="shared" si="85"/>
        <v>0</v>
      </c>
      <c r="N122" s="469">
        <f t="shared" si="85"/>
        <v>0</v>
      </c>
      <c r="O122" s="469">
        <f t="shared" si="85"/>
        <v>0</v>
      </c>
      <c r="P122" s="469">
        <f t="shared" si="85"/>
        <v>4547</v>
      </c>
      <c r="Q122" s="469">
        <f t="shared" si="85"/>
        <v>4221</v>
      </c>
      <c r="R122" s="469">
        <f t="shared" si="85"/>
        <v>0</v>
      </c>
      <c r="S122" s="469">
        <f t="shared" si="85"/>
        <v>0</v>
      </c>
      <c r="T122" s="469">
        <f t="shared" si="85"/>
        <v>8768</v>
      </c>
      <c r="U122" s="442"/>
    </row>
    <row r="123" spans="1:21" ht="13.8" hidden="1">
      <c r="A123" s="436"/>
      <c r="B123" s="470"/>
      <c r="C123" s="471" t="s">
        <v>422</v>
      </c>
      <c r="D123" s="469">
        <f t="shared" si="85"/>
        <v>129</v>
      </c>
      <c r="E123" s="469">
        <f t="shared" si="85"/>
        <v>93</v>
      </c>
      <c r="F123" s="469">
        <f t="shared" si="85"/>
        <v>147</v>
      </c>
      <c r="G123" s="469">
        <f t="shared" si="85"/>
        <v>104</v>
      </c>
      <c r="H123" s="469">
        <f t="shared" si="85"/>
        <v>103</v>
      </c>
      <c r="I123" s="469">
        <f t="shared" si="85"/>
        <v>119</v>
      </c>
      <c r="J123" s="469">
        <f t="shared" si="85"/>
        <v>0</v>
      </c>
      <c r="K123" s="469">
        <f t="shared" si="85"/>
        <v>0</v>
      </c>
      <c r="L123" s="469">
        <f t="shared" si="85"/>
        <v>0</v>
      </c>
      <c r="M123" s="469">
        <f t="shared" si="85"/>
        <v>0</v>
      </c>
      <c r="N123" s="469">
        <f t="shared" si="85"/>
        <v>0</v>
      </c>
      <c r="O123" s="469">
        <f t="shared" si="85"/>
        <v>0</v>
      </c>
      <c r="P123" s="469">
        <f t="shared" si="85"/>
        <v>369</v>
      </c>
      <c r="Q123" s="469">
        <f t="shared" si="85"/>
        <v>326</v>
      </c>
      <c r="R123" s="469">
        <f t="shared" si="85"/>
        <v>0</v>
      </c>
      <c r="S123" s="469">
        <f t="shared" si="85"/>
        <v>0</v>
      </c>
      <c r="T123" s="469">
        <f t="shared" si="85"/>
        <v>695</v>
      </c>
      <c r="U123" s="442"/>
    </row>
    <row r="124" spans="1:21" ht="13.8" hidden="1">
      <c r="A124" s="436"/>
      <c r="B124" s="470"/>
      <c r="C124" s="471" t="s">
        <v>423</v>
      </c>
      <c r="D124" s="469">
        <f t="shared" si="85"/>
        <v>0</v>
      </c>
      <c r="E124" s="469">
        <f t="shared" si="85"/>
        <v>0</v>
      </c>
      <c r="F124" s="469">
        <f t="shared" si="85"/>
        <v>0</v>
      </c>
      <c r="G124" s="469">
        <f t="shared" si="85"/>
        <v>0</v>
      </c>
      <c r="H124" s="469">
        <f t="shared" si="85"/>
        <v>0</v>
      </c>
      <c r="I124" s="469">
        <f t="shared" si="85"/>
        <v>0</v>
      </c>
      <c r="J124" s="469">
        <f t="shared" si="85"/>
        <v>0</v>
      </c>
      <c r="K124" s="469">
        <f t="shared" si="85"/>
        <v>0</v>
      </c>
      <c r="L124" s="469">
        <f t="shared" si="85"/>
        <v>0</v>
      </c>
      <c r="M124" s="469">
        <f t="shared" si="85"/>
        <v>0</v>
      </c>
      <c r="N124" s="469">
        <f t="shared" si="85"/>
        <v>0</v>
      </c>
      <c r="O124" s="469">
        <f t="shared" si="85"/>
        <v>0</v>
      </c>
      <c r="P124" s="469">
        <f t="shared" si="85"/>
        <v>0</v>
      </c>
      <c r="Q124" s="469">
        <f t="shared" si="85"/>
        <v>0</v>
      </c>
      <c r="R124" s="469">
        <f t="shared" si="85"/>
        <v>0</v>
      </c>
      <c r="S124" s="469">
        <f t="shared" si="85"/>
        <v>0</v>
      </c>
      <c r="T124" s="469">
        <f t="shared" si="85"/>
        <v>0</v>
      </c>
      <c r="U124" s="442"/>
    </row>
    <row r="125" spans="1:21" ht="13.8" hidden="1">
      <c r="A125" s="436"/>
      <c r="B125" s="470"/>
      <c r="C125" s="471" t="s">
        <v>424</v>
      </c>
      <c r="D125" s="469">
        <f t="shared" si="85"/>
        <v>0</v>
      </c>
      <c r="E125" s="469">
        <f t="shared" si="85"/>
        <v>0</v>
      </c>
      <c r="F125" s="469">
        <f t="shared" si="85"/>
        <v>0</v>
      </c>
      <c r="G125" s="469">
        <f t="shared" si="85"/>
        <v>0</v>
      </c>
      <c r="H125" s="469">
        <f t="shared" si="85"/>
        <v>0</v>
      </c>
      <c r="I125" s="469">
        <f t="shared" si="85"/>
        <v>0</v>
      </c>
      <c r="J125" s="469">
        <f t="shared" si="85"/>
        <v>0</v>
      </c>
      <c r="K125" s="469">
        <f t="shared" si="85"/>
        <v>0</v>
      </c>
      <c r="L125" s="469">
        <f t="shared" si="85"/>
        <v>0</v>
      </c>
      <c r="M125" s="469">
        <f t="shared" si="85"/>
        <v>0</v>
      </c>
      <c r="N125" s="469">
        <f t="shared" si="85"/>
        <v>0</v>
      </c>
      <c r="O125" s="469">
        <f t="shared" si="85"/>
        <v>0</v>
      </c>
      <c r="P125" s="469">
        <f t="shared" si="85"/>
        <v>0</v>
      </c>
      <c r="Q125" s="469">
        <f t="shared" si="85"/>
        <v>0</v>
      </c>
      <c r="R125" s="469">
        <f t="shared" si="85"/>
        <v>0</v>
      </c>
      <c r="S125" s="469">
        <f t="shared" si="85"/>
        <v>0</v>
      </c>
      <c r="T125" s="469">
        <f t="shared" si="85"/>
        <v>0</v>
      </c>
      <c r="U125" s="442"/>
    </row>
    <row r="126" spans="1:21" ht="13.8" hidden="1">
      <c r="A126" s="436"/>
      <c r="B126" s="472"/>
      <c r="C126" s="473" t="s">
        <v>431</v>
      </c>
      <c r="D126" s="474">
        <f>D123+D124+D125</f>
        <v>129</v>
      </c>
      <c r="E126" s="474">
        <f>E123+E124+E125</f>
        <v>93</v>
      </c>
      <c r="F126" s="474">
        <f t="shared" ref="F126:T126" si="86">F123+F124+F125</f>
        <v>147</v>
      </c>
      <c r="G126" s="474">
        <f t="shared" si="86"/>
        <v>104</v>
      </c>
      <c r="H126" s="474">
        <f t="shared" si="86"/>
        <v>103</v>
      </c>
      <c r="I126" s="474">
        <f t="shared" si="86"/>
        <v>119</v>
      </c>
      <c r="J126" s="474">
        <f t="shared" si="86"/>
        <v>0</v>
      </c>
      <c r="K126" s="474">
        <f t="shared" si="86"/>
        <v>0</v>
      </c>
      <c r="L126" s="474">
        <f t="shared" si="86"/>
        <v>0</v>
      </c>
      <c r="M126" s="474">
        <f t="shared" si="86"/>
        <v>0</v>
      </c>
      <c r="N126" s="474">
        <f t="shared" si="86"/>
        <v>0</v>
      </c>
      <c r="O126" s="474">
        <f t="shared" si="86"/>
        <v>0</v>
      </c>
      <c r="P126" s="474">
        <f t="shared" si="86"/>
        <v>369</v>
      </c>
      <c r="Q126" s="474">
        <f t="shared" si="86"/>
        <v>326</v>
      </c>
      <c r="R126" s="474">
        <f t="shared" si="86"/>
        <v>0</v>
      </c>
      <c r="S126" s="474">
        <f t="shared" si="86"/>
        <v>0</v>
      </c>
      <c r="T126" s="474">
        <f t="shared" si="86"/>
        <v>695</v>
      </c>
      <c r="U126" s="476"/>
    </row>
    <row r="127" spans="1:21" ht="13.8" hidden="1">
      <c r="A127" s="436"/>
      <c r="B127" s="477"/>
      <c r="C127" s="453"/>
      <c r="D127" s="477"/>
      <c r="E127" s="477"/>
      <c r="F127" s="477"/>
      <c r="G127" s="477"/>
      <c r="H127" s="477"/>
      <c r="I127" s="477"/>
      <c r="J127" s="477"/>
      <c r="K127" s="477"/>
      <c r="L127" s="477"/>
      <c r="M127" s="477"/>
      <c r="N127" s="477"/>
      <c r="O127" s="477"/>
      <c r="P127" s="477"/>
      <c r="Q127" s="477"/>
      <c r="R127" s="477"/>
      <c r="S127" s="477"/>
      <c r="T127" s="477"/>
      <c r="U127" s="476"/>
    </row>
    <row r="128" spans="1:21" ht="13.8" thickBot="1">
      <c r="A128" s="478"/>
      <c r="B128" s="479"/>
      <c r="C128" s="479"/>
      <c r="D128" s="480" t="s">
        <v>395</v>
      </c>
      <c r="E128" s="481" t="s">
        <v>396</v>
      </c>
      <c r="F128" s="481" t="s">
        <v>397</v>
      </c>
      <c r="G128" s="481" t="s">
        <v>398</v>
      </c>
      <c r="H128" s="481" t="s">
        <v>399</v>
      </c>
      <c r="I128" s="481" t="s">
        <v>400</v>
      </c>
      <c r="J128" s="481" t="s">
        <v>401</v>
      </c>
      <c r="K128" s="481" t="s">
        <v>402</v>
      </c>
      <c r="L128" s="481" t="s">
        <v>403</v>
      </c>
      <c r="M128" s="481" t="s">
        <v>404</v>
      </c>
      <c r="N128" s="481" t="s">
        <v>405</v>
      </c>
      <c r="O128" s="481" t="s">
        <v>406</v>
      </c>
      <c r="P128" s="479"/>
      <c r="Q128" s="479"/>
      <c r="R128" s="479"/>
      <c r="S128" s="479"/>
      <c r="T128" s="479"/>
      <c r="U128" s="482"/>
    </row>
  </sheetData>
  <mergeCells count="5">
    <mergeCell ref="A2:U2"/>
    <mergeCell ref="A1:U1"/>
    <mergeCell ref="V4:AC11"/>
    <mergeCell ref="B6:C6"/>
    <mergeCell ref="B90:C90"/>
  </mergeCells>
  <dataValidations count="5">
    <dataValidation allowBlank="1" showErrorMessage="1" sqref="D11:O11 D32:O32 D25:O25 D18:O18"/>
    <dataValidation type="textLength" allowBlank="1" showInputMessage="1" showErrorMessage="1" errorTitle="Not editable" error="This field cannot be edited" sqref="P7:T7 P50:T50 P91:T91">
      <formula1>75</formula1>
      <formula2>76</formula2>
    </dataValidation>
    <dataValidation type="whole" allowBlank="1" showInputMessage="1" showErrorMessage="1" errorTitle="Invalid Data" error="Enter only Monday-Friday operating days for the month" sqref="D7:O7">
      <formula1>0</formula1>
      <formula2>23</formula2>
    </dataValidation>
    <dataValidation type="whole" allowBlank="1" showInputMessage="1" showErrorMessage="1" errorTitle="Invalid Data" error="Enter only Saturday operating days for the month" sqref="D50:O50">
      <formula1>0</formula1>
      <formula2>5</formula2>
    </dataValidation>
    <dataValidation type="whole" allowBlank="1" showInputMessage="1" showErrorMessage="1" errorTitle="Invalid Data" error="Enter only Sunday operating days for the month" sqref="D91:O91">
      <formula1>0</formula1>
      <formula2>5</formula2>
    </dataValidation>
  </dataValidations>
  <hyperlinks>
    <hyperlink ref="C9" location="Definitions!D27" display="Customer Satisfaction"/>
    <hyperlink ref="C11" location="Definitions!D28" display="Hours"/>
    <hyperlink ref="C12" location="Definitions!D29" display="Miles"/>
    <hyperlink ref="C13" location="Definitions!D30" display="Passenger Trips: Non-Contract"/>
    <hyperlink ref="C14" location="Definitions!D31" display="                            Medicaid Contract"/>
    <hyperlink ref="C15" location="Definitions!D32" display="                            Non-Medicaid Contract"/>
    <hyperlink ref="C18" location="Definitions!D33" display="Hours"/>
    <hyperlink ref="C19" location="Definitions!D34" display="Miles"/>
    <hyperlink ref="C20" location="Definitions!D35" display="Passenger Trips: Non-Contract"/>
    <hyperlink ref="C21" location="Definitions!D36" display="                            Medicaid Contract"/>
    <hyperlink ref="C22" location="Definitions!D37" display="                            Non-Medicaid Contract"/>
    <hyperlink ref="C25" location="Definitions!D38" display="Hours"/>
    <hyperlink ref="C26" location="Definitions!D39" display="Miles"/>
    <hyperlink ref="C27" location="Definitions!D40" display="Passenger Trips: Non-Contract"/>
    <hyperlink ref="C28" location="Definitions!D41" display="                            Medicaid Contract"/>
    <hyperlink ref="C29" location="Definitions!D42" display="                            Non-Medicaid Contract"/>
    <hyperlink ref="C32" location="Definitions!D43" display="Hours"/>
    <hyperlink ref="C33" location="Definitions!D44" display="Miles"/>
    <hyperlink ref="C34" location="Definitions!D45" display="Passenger Trips: Non-Contract"/>
    <hyperlink ref="C35" location="Definitions!D46" display="                            Medicaid Contract"/>
    <hyperlink ref="C36" location="Definitions!D47" display="                            Non-Medicaid Contract"/>
    <hyperlink ref="C7" location="Definitions!D26" display="Operating Days"/>
    <hyperlink ref="C50" location="Definitions!D49" display="Operating Days"/>
    <hyperlink ref="C52" location="Definitions!D50" display="Hours"/>
    <hyperlink ref="C53" location="Definitions!D51" display="Miles"/>
    <hyperlink ref="C54" location="Definitions!D52" display="Passenger Trips: Non-Contract"/>
    <hyperlink ref="C55" location="Definitions!D53" display="                            Medicaid Contract"/>
    <hyperlink ref="C56" location="Definitions!D54" display="                            Non-Medicaid Contract"/>
    <hyperlink ref="C59" location="Definitions!D55" display="Hours"/>
    <hyperlink ref="C60" location="Definitions!D56" display="Miles"/>
    <hyperlink ref="C61" location="Definitions!D57" display="Passenger Trips: Non-Contract"/>
    <hyperlink ref="C62" location="Definitions!D58" display="                            Medicaid Contract"/>
    <hyperlink ref="C63" location="Definitions!D59" display="                            Non-Medicaid Contract"/>
    <hyperlink ref="C66" location="Definitions!D60" display="Hours"/>
    <hyperlink ref="C67" location="Definitions!D61" display="Miles"/>
    <hyperlink ref="C68" location="Definitions!D62" display="Passenger Trips: Non-Contract"/>
    <hyperlink ref="C69" location="Definitions!D63" display="                            Medicaid Contract"/>
    <hyperlink ref="C70" location="Definitions!D64" display="                            Non-Medicaid Contract"/>
    <hyperlink ref="C73" location="Definitions!D65" display="Hours"/>
    <hyperlink ref="C74" location="Definitions!D66" display="Miles"/>
    <hyperlink ref="C75" location="Definitions!D67" display="Passenger Trips: Non-Contract"/>
    <hyperlink ref="C76" location="Definitions!D68" display="                            Medicaid Contract"/>
    <hyperlink ref="C77" location="Definitions!D69" display="                            Non-Medicaid Contract"/>
    <hyperlink ref="C91" location="Definitions!D71" display="Operating Days"/>
    <hyperlink ref="C93" location="Definitions!D72" display="Hours"/>
    <hyperlink ref="C94" location="Definitions!D73" display="Miles"/>
    <hyperlink ref="C95" location="Definitions!D74" display="Passenger Trips: Non-Contract"/>
    <hyperlink ref="C96" location="Definitions!D75" display="                            Medicaid Contract"/>
    <hyperlink ref="C97" location="Definitions!D76" display="                            Non-Medicaid Contract"/>
    <hyperlink ref="C100" location="Definitions!D77" display="Hours"/>
    <hyperlink ref="C101" location="Definitions!D78" display="Miles"/>
    <hyperlink ref="C102" location="Definitions!D79" display="Passenger Trips: Non-Contract"/>
    <hyperlink ref="C103" location="Definitions!D80" display="                            Medicaid Contract"/>
    <hyperlink ref="C104" location="Definitions!D81" display="                            Non-Medicaid Contract"/>
    <hyperlink ref="C107" location="Definitions!D82" display="Hours"/>
    <hyperlink ref="C108" location="Definitions!D83" display="Miles"/>
    <hyperlink ref="C109" location="Definitions!D84" display="Passenger Trips: Non-Contract"/>
    <hyperlink ref="C110" location="Definitions!D85" display="                            Medicaid Contract"/>
    <hyperlink ref="C111" location="Definitions!D86" display="                            Non-Medicaid Contract"/>
    <hyperlink ref="C114" location="Definitions!D87" display="Hours"/>
    <hyperlink ref="C115" location="Definitions!D88" display="Miles"/>
    <hyperlink ref="C116" location="Definitions!D89" display="Passenger Trips: Non-Contract"/>
    <hyperlink ref="C117" location="Definitions!D90" display="                            Medicaid Contract"/>
    <hyperlink ref="C118" location="Definitions!D91" display="                            Non-Medicaid Contract"/>
  </hyperlinks>
  <pageMargins left="0.7" right="0.7" top="0.75" bottom="0.75" header="0.3" footer="0.3"/>
  <pageSetup scale="63" orientation="portrait" r:id="rId1"/>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08"/>
  <sheetViews>
    <sheetView zoomScaleNormal="100" workbookViewId="0">
      <selection activeCell="A2" sqref="A2:XFD2"/>
    </sheetView>
  </sheetViews>
  <sheetFormatPr defaultColWidth="9.109375" defaultRowHeight="13.8"/>
  <cols>
    <col min="1" max="1" width="24.5546875" style="747" customWidth="1"/>
    <col min="2" max="2" width="34.44140625" style="747" customWidth="1"/>
    <col min="3" max="3" width="10.88671875" style="747" customWidth="1"/>
    <col min="4" max="4" width="9.5546875" style="747" customWidth="1"/>
    <col min="5" max="5" width="12" style="747" customWidth="1"/>
    <col min="6" max="6" width="9.109375" style="747" customWidth="1"/>
    <col min="7" max="7" width="11.5546875" style="747" customWidth="1"/>
    <col min="8" max="8" width="11.44140625" style="747" customWidth="1"/>
    <col min="9" max="9" width="9.109375" style="747" customWidth="1"/>
    <col min="10" max="10" width="10" style="747" customWidth="1"/>
    <col min="11" max="11" width="9.109375" style="747" customWidth="1"/>
    <col min="12" max="12" width="8.5546875" style="747" customWidth="1"/>
    <col min="13" max="14" width="9.109375" style="747" customWidth="1"/>
    <col min="15" max="17" width="8.88671875" style="747" customWidth="1"/>
    <col min="18" max="18" width="10.88671875" style="747" customWidth="1"/>
    <col min="19" max="19" width="8.88671875" style="747" customWidth="1"/>
    <col min="20" max="20" width="8.88671875" style="847" customWidth="1"/>
    <col min="21" max="21" width="31.44140625" style="841" customWidth="1"/>
    <col min="22" max="22" width="34.44140625" style="841" customWidth="1"/>
    <col min="23" max="23" width="10.88671875" style="841" customWidth="1"/>
    <col min="24" max="24" width="9.5546875" style="841" customWidth="1"/>
    <col min="25" max="25" width="12" style="841" customWidth="1"/>
    <col min="26" max="26" width="9.109375" style="841" customWidth="1"/>
    <col min="27" max="27" width="11.5546875" style="841" customWidth="1"/>
    <col min="28" max="28" width="11.44140625" style="841" customWidth="1"/>
    <col min="29" max="29" width="9.109375" style="841" customWidth="1"/>
    <col min="30" max="30" width="10" style="841" customWidth="1"/>
    <col min="31" max="31" width="9.109375" style="841" customWidth="1"/>
    <col min="32" max="32" width="8.5546875" style="841" customWidth="1"/>
    <col min="33" max="34" width="9.109375" style="841" customWidth="1"/>
    <col min="35" max="37" width="8.88671875" style="841" customWidth="1"/>
    <col min="38" max="38" width="10.88671875" style="841" customWidth="1"/>
    <col min="39" max="40" width="8.88671875" style="841" customWidth="1"/>
    <col min="41" max="16384" width="9.109375" style="841"/>
  </cols>
  <sheetData>
    <row r="1" spans="1:40" ht="21">
      <c r="A1" s="742" t="s">
        <v>86</v>
      </c>
      <c r="B1" s="742" t="s">
        <v>222</v>
      </c>
      <c r="C1" s="841"/>
      <c r="D1" s="841"/>
      <c r="E1" s="841"/>
      <c r="F1" s="841"/>
      <c r="G1" s="841"/>
      <c r="H1" s="841"/>
      <c r="I1" s="841"/>
      <c r="J1" s="841"/>
      <c r="K1" s="841"/>
      <c r="L1" s="841"/>
      <c r="M1" s="841"/>
      <c r="N1" s="841"/>
      <c r="O1" s="841"/>
      <c r="P1" s="841"/>
      <c r="Q1" s="841"/>
      <c r="R1" s="841"/>
      <c r="S1" s="841"/>
      <c r="T1" s="839" t="s">
        <v>252</v>
      </c>
      <c r="U1" s="842"/>
      <c r="V1" s="842"/>
      <c r="W1" s="744"/>
      <c r="X1" s="744"/>
      <c r="Y1" s="744"/>
      <c r="Z1" s="744"/>
      <c r="AA1" s="744"/>
      <c r="AB1" s="744"/>
      <c r="AC1" s="744"/>
      <c r="AD1" s="745"/>
      <c r="AE1" s="745"/>
      <c r="AF1" s="745"/>
      <c r="AG1" s="745"/>
      <c r="AH1" s="745"/>
      <c r="AI1" s="745"/>
      <c r="AJ1" s="745"/>
      <c r="AK1" s="745"/>
      <c r="AL1" s="745"/>
      <c r="AM1" s="746"/>
      <c r="AN1" s="843"/>
    </row>
    <row r="2" spans="1:40" s="844" customFormat="1" ht="21.6" thickBot="1">
      <c r="A2" s="725" t="s">
        <v>190</v>
      </c>
      <c r="B2" s="725" t="str">
        <f>Trips!B3</f>
        <v>FY 2020</v>
      </c>
      <c r="C2" s="895" t="s">
        <v>8</v>
      </c>
      <c r="D2" s="895" t="s">
        <v>78</v>
      </c>
      <c r="E2" s="895" t="s">
        <v>79</v>
      </c>
      <c r="F2" s="895" t="s">
        <v>80</v>
      </c>
      <c r="G2" s="895" t="s">
        <v>81</v>
      </c>
      <c r="H2" s="895" t="s">
        <v>82</v>
      </c>
      <c r="I2" s="895" t="s">
        <v>83</v>
      </c>
      <c r="J2" s="895" t="s">
        <v>84</v>
      </c>
      <c r="K2" s="895" t="s">
        <v>85</v>
      </c>
      <c r="L2" s="895" t="s">
        <v>4</v>
      </c>
      <c r="M2" s="895" t="s">
        <v>5</v>
      </c>
      <c r="N2" s="895" t="s">
        <v>6</v>
      </c>
      <c r="O2" s="896" t="s">
        <v>110</v>
      </c>
      <c r="P2" s="896" t="s">
        <v>111</v>
      </c>
      <c r="Q2" s="896" t="s">
        <v>112</v>
      </c>
      <c r="R2" s="896" t="s">
        <v>113</v>
      </c>
      <c r="S2" s="896" t="s">
        <v>114</v>
      </c>
      <c r="T2" s="896" t="s">
        <v>243</v>
      </c>
    </row>
    <row r="3" spans="1:40" s="840" customFormat="1" ht="14.4">
      <c r="A3" s="1075" t="s">
        <v>387</v>
      </c>
      <c r="B3" s="749" t="s">
        <v>187</v>
      </c>
      <c r="C3" s="750">
        <f>'OpStatTotals(AllServices)'!C21+'OpStatTotals(AllServices)'!C33</f>
        <v>27</v>
      </c>
      <c r="D3" s="750">
        <f>'OpStatTotals(AllServices)'!D21+'OpStatTotals(AllServices)'!D33</f>
        <v>27</v>
      </c>
      <c r="E3" s="750">
        <f>'OpStatTotals(AllServices)'!E21+'OpStatTotals(AllServices)'!E33</f>
        <v>25</v>
      </c>
      <c r="F3" s="750">
        <f>'OpStatTotals(AllServices)'!F21+'OpStatTotals(AllServices)'!F33</f>
        <v>27</v>
      </c>
      <c r="G3" s="750">
        <f>'OpStatTotals(AllServices)'!G21+'OpStatTotals(AllServices)'!G33</f>
        <v>25</v>
      </c>
      <c r="H3" s="750">
        <f>'OpStatTotals(AllServices)'!H21+'OpStatTotals(AllServices)'!H33</f>
        <v>25</v>
      </c>
      <c r="I3" s="750">
        <f>'OpStatTotals(AllServices)'!I21+'OpStatTotals(AllServices)'!I33</f>
        <v>0</v>
      </c>
      <c r="J3" s="750">
        <f>'OpStatTotals(AllServices)'!J21+'OpStatTotals(AllServices)'!J33</f>
        <v>0</v>
      </c>
      <c r="K3" s="750">
        <f>'OpStatTotals(AllServices)'!K21+'OpStatTotals(AllServices)'!K33</f>
        <v>0</v>
      </c>
      <c r="L3" s="750">
        <f>'OpStatTotals(AllServices)'!L21+'OpStatTotals(AllServices)'!L33</f>
        <v>0</v>
      </c>
      <c r="M3" s="750">
        <f>'OpStatTotals(AllServices)'!M21+'OpStatTotals(AllServices)'!M33</f>
        <v>0</v>
      </c>
      <c r="N3" s="750">
        <f>'OpStatTotals(AllServices)'!N21+'OpStatTotals(AllServices)'!N33</f>
        <v>0</v>
      </c>
      <c r="O3" s="750">
        <f>C3+D3+E3</f>
        <v>79</v>
      </c>
      <c r="P3" s="750">
        <f>F3+G3+H3</f>
        <v>77</v>
      </c>
      <c r="Q3" s="750">
        <f>I3+J3+K3</f>
        <v>0</v>
      </c>
      <c r="R3" s="750">
        <f>L3+M3+N3</f>
        <v>0</v>
      </c>
      <c r="S3" s="751">
        <f>SUM(C3:N3)</f>
        <v>156</v>
      </c>
      <c r="T3" s="752"/>
    </row>
    <row r="4" spans="1:40" s="840" customFormat="1">
      <c r="A4" s="1076"/>
      <c r="B4" s="753" t="s">
        <v>336</v>
      </c>
      <c r="C4" s="754">
        <f>'3b-RM Report Data'!J107</f>
        <v>3</v>
      </c>
      <c r="D4" s="754">
        <f>'3b-RM Report Data'!Q107</f>
        <v>3</v>
      </c>
      <c r="E4" s="754">
        <f>'3b-RM Report Data'!X107</f>
        <v>3</v>
      </c>
      <c r="F4" s="754">
        <f>'3b-RM Report Data'!AE107</f>
        <v>3</v>
      </c>
      <c r="G4" s="754">
        <f>'3b-RM Report Data'!AL107</f>
        <v>3</v>
      </c>
      <c r="H4" s="754">
        <f>'3b-RM Report Data'!AS107</f>
        <v>3</v>
      </c>
      <c r="I4" s="754">
        <f>'3b-RM Report Data'!AZ107</f>
        <v>3</v>
      </c>
      <c r="J4" s="754">
        <f>'3b-RM Report Data'!BG107</f>
        <v>3</v>
      </c>
      <c r="K4" s="754">
        <f>'3b-RM Report Data'!BN107</f>
        <v>3</v>
      </c>
      <c r="L4" s="754">
        <f>'3b-RM Report Data'!BU107</f>
        <v>3</v>
      </c>
      <c r="M4" s="754">
        <f>'3b-RM Report Data'!CB107</f>
        <v>3</v>
      </c>
      <c r="N4" s="754">
        <f>'3b-RM Report Data'!CI107</f>
        <v>3</v>
      </c>
      <c r="O4" s="755">
        <f>MAX(C4,D4,E4)</f>
        <v>3</v>
      </c>
      <c r="P4" s="755">
        <f>MAX(F4,G4,H4)</f>
        <v>3</v>
      </c>
      <c r="Q4" s="755">
        <f>MAX(I4,J4,K4)</f>
        <v>3</v>
      </c>
      <c r="R4" s="755">
        <f>MAX(L4,M4,N4)</f>
        <v>3</v>
      </c>
      <c r="S4" s="756">
        <f>MAX(C4:N4)</f>
        <v>3</v>
      </c>
      <c r="T4" s="752"/>
    </row>
    <row r="5" spans="1:40" s="845" customFormat="1">
      <c r="A5" s="1076"/>
      <c r="B5" s="757" t="s">
        <v>337</v>
      </c>
      <c r="C5" s="758">
        <f>'3b-RM Report Data'!J108</f>
        <v>5</v>
      </c>
      <c r="D5" s="758">
        <f>'3b-RM Report Data'!Q108</f>
        <v>5</v>
      </c>
      <c r="E5" s="758">
        <f>'3b-RM Report Data'!X108</f>
        <v>5</v>
      </c>
      <c r="F5" s="758">
        <f>'3b-RM Report Data'!AE108</f>
        <v>5</v>
      </c>
      <c r="G5" s="758">
        <f>'3b-RM Report Data'!AL108</f>
        <v>5</v>
      </c>
      <c r="H5" s="758">
        <f>'3b-RM Report Data'!AS108</f>
        <v>5</v>
      </c>
      <c r="I5" s="758">
        <f>'3b-RM Report Data'!AZ108</f>
        <v>5</v>
      </c>
      <c r="J5" s="758">
        <f>'3b-RM Report Data'!BG108</f>
        <v>5</v>
      </c>
      <c r="K5" s="758">
        <f>'3b-RM Report Data'!BN108</f>
        <v>5</v>
      </c>
      <c r="L5" s="758">
        <f>'3b-RM Report Data'!BU108</f>
        <v>5</v>
      </c>
      <c r="M5" s="758">
        <f>'3b-RM Report Data'!CB108</f>
        <v>5</v>
      </c>
      <c r="N5" s="758">
        <f>'3b-RM Report Data'!CI108</f>
        <v>5</v>
      </c>
      <c r="O5" s="759">
        <f t="shared" ref="O5:O6" si="0">MAX(C5,D5,E5)</f>
        <v>5</v>
      </c>
      <c r="P5" s="759">
        <f t="shared" ref="P5:P6" si="1">MAX(F5,G5,H5)</f>
        <v>5</v>
      </c>
      <c r="Q5" s="759">
        <f t="shared" ref="Q5:Q6" si="2">MAX(I5,J5,K5)</f>
        <v>5</v>
      </c>
      <c r="R5" s="759">
        <f t="shared" ref="R5:R6" si="3">MAX(L5,M5,N5)</f>
        <v>5</v>
      </c>
      <c r="S5" s="760">
        <f t="shared" ref="S5:S6" si="4">MAX(C5:N5)</f>
        <v>5</v>
      </c>
      <c r="T5" s="752"/>
    </row>
    <row r="6" spans="1:40" s="840" customFormat="1" ht="14.4" thickBot="1">
      <c r="A6" s="1077"/>
      <c r="B6" s="761" t="s">
        <v>244</v>
      </c>
      <c r="C6" s="762">
        <f>'3b-RM Report Data'!J109</f>
        <v>3</v>
      </c>
      <c r="D6" s="762">
        <f>'3b-RM Report Data'!Q109</f>
        <v>3</v>
      </c>
      <c r="E6" s="762">
        <f>'3b-RM Report Data'!X109</f>
        <v>3</v>
      </c>
      <c r="F6" s="762">
        <f>'3b-RM Report Data'!AE109</f>
        <v>3</v>
      </c>
      <c r="G6" s="762">
        <f>'3b-RM Report Data'!AL109</f>
        <v>3</v>
      </c>
      <c r="H6" s="762">
        <f>'3b-RM Report Data'!AS109</f>
        <v>3</v>
      </c>
      <c r="I6" s="762">
        <f>'3b-RM Report Data'!AZ109</f>
        <v>3</v>
      </c>
      <c r="J6" s="762">
        <f>'3b-RM Report Data'!BG109</f>
        <v>3</v>
      </c>
      <c r="K6" s="762">
        <f>'3b-RM Report Data'!BN109</f>
        <v>3</v>
      </c>
      <c r="L6" s="762">
        <f>'3b-RM Report Data'!BU109</f>
        <v>3</v>
      </c>
      <c r="M6" s="762">
        <f>'3b-RM Report Data'!CB109</f>
        <v>3</v>
      </c>
      <c r="N6" s="762">
        <f>'3b-RM Report Data'!CI109</f>
        <v>3</v>
      </c>
      <c r="O6" s="763">
        <f t="shared" si="0"/>
        <v>3</v>
      </c>
      <c r="P6" s="763">
        <f t="shared" si="1"/>
        <v>3</v>
      </c>
      <c r="Q6" s="763">
        <f t="shared" si="2"/>
        <v>3</v>
      </c>
      <c r="R6" s="763">
        <f t="shared" si="3"/>
        <v>3</v>
      </c>
      <c r="S6" s="764">
        <f t="shared" si="4"/>
        <v>3</v>
      </c>
      <c r="T6" s="752"/>
    </row>
    <row r="7" spans="1:40" s="840" customFormat="1">
      <c r="A7" s="1065" t="s">
        <v>248</v>
      </c>
      <c r="B7" s="765" t="s">
        <v>141</v>
      </c>
      <c r="C7" s="766">
        <f>'3b-RM Report Data'!J44</f>
        <v>266.63</v>
      </c>
      <c r="D7" s="766">
        <f>'3b-RM Report Data'!Q44</f>
        <v>279.27999999999997</v>
      </c>
      <c r="E7" s="766">
        <f>'3b-RM Report Data'!X44</f>
        <v>247.52</v>
      </c>
      <c r="F7" s="766">
        <f>'3b-RM Report Data'!AE44</f>
        <v>274.98</v>
      </c>
      <c r="G7" s="766">
        <f>'3b-RM Report Data'!AL44</f>
        <v>257.25</v>
      </c>
      <c r="H7" s="766">
        <f>'3b-RM Report Data'!AS44</f>
        <v>257.37</v>
      </c>
      <c r="I7" s="766">
        <f>'3b-RM Report Data'!AZ44</f>
        <v>0</v>
      </c>
      <c r="J7" s="766">
        <f>'3b-RM Report Data'!BG44</f>
        <v>0</v>
      </c>
      <c r="K7" s="766">
        <f>'3b-RM Report Data'!BN44</f>
        <v>0</v>
      </c>
      <c r="L7" s="766">
        <f>'3b-RM Report Data'!BU44</f>
        <v>0</v>
      </c>
      <c r="M7" s="766">
        <f>'3b-RM Report Data'!CB44</f>
        <v>0</v>
      </c>
      <c r="N7" s="766">
        <f>'3b-RM Report Data'!CI44</f>
        <v>0</v>
      </c>
      <c r="O7" s="767">
        <f t="shared" ref="O7:O9" si="5">C7+D7+E7</f>
        <v>793.43</v>
      </c>
      <c r="P7" s="767">
        <f t="shared" ref="P7:P9" si="6">F7+G7+H7</f>
        <v>789.6</v>
      </c>
      <c r="Q7" s="767">
        <f t="shared" ref="Q7:Q9" si="7">I7+J7+K7</f>
        <v>0</v>
      </c>
      <c r="R7" s="767">
        <f t="shared" ref="R7:R9" si="8">L7+M7+N7</f>
        <v>0</v>
      </c>
      <c r="S7" s="768">
        <f>SUM(C7:N7)</f>
        <v>1583.0299999999997</v>
      </c>
      <c r="T7" s="769"/>
    </row>
    <row r="8" spans="1:40" s="840" customFormat="1">
      <c r="A8" s="1066"/>
      <c r="B8" s="770" t="s">
        <v>142</v>
      </c>
      <c r="C8" s="758">
        <f>'3b-RM Report Data'!J48</f>
        <v>278.52</v>
      </c>
      <c r="D8" s="758">
        <f>'3b-RM Report Data'!Q48</f>
        <v>278.52999999999997</v>
      </c>
      <c r="E8" s="758">
        <f>'3b-RM Report Data'!X48</f>
        <v>254.17</v>
      </c>
      <c r="F8" s="758">
        <f>'3b-RM Report Data'!AE48</f>
        <v>291.72000000000003</v>
      </c>
      <c r="G8" s="758">
        <f>'3b-RM Report Data'!AL48</f>
        <v>252.68</v>
      </c>
      <c r="H8" s="758">
        <f>'3b-RM Report Data'!AS48</f>
        <v>267.10000000000002</v>
      </c>
      <c r="I8" s="758">
        <f>'3b-RM Report Data'!AZ48</f>
        <v>0</v>
      </c>
      <c r="J8" s="758">
        <f>'3b-RM Report Data'!BG48</f>
        <v>0</v>
      </c>
      <c r="K8" s="758">
        <f>'3b-RM Report Data'!BN48</f>
        <v>0</v>
      </c>
      <c r="L8" s="758">
        <f>'3b-RM Report Data'!BU48</f>
        <v>0</v>
      </c>
      <c r="M8" s="758">
        <f>'3b-RM Report Data'!CB48</f>
        <v>0</v>
      </c>
      <c r="N8" s="758">
        <f>'3b-RM Report Data'!CI48</f>
        <v>0</v>
      </c>
      <c r="O8" s="771">
        <f t="shared" si="5"/>
        <v>811.21999999999991</v>
      </c>
      <c r="P8" s="771">
        <f t="shared" si="6"/>
        <v>811.50000000000011</v>
      </c>
      <c r="Q8" s="771">
        <f t="shared" si="7"/>
        <v>0</v>
      </c>
      <c r="R8" s="771">
        <f t="shared" si="8"/>
        <v>0</v>
      </c>
      <c r="S8" s="772">
        <f t="shared" ref="S8:S9" si="9">SUM(C8:N8)</f>
        <v>1622.7200000000003</v>
      </c>
      <c r="T8" s="769"/>
    </row>
    <row r="9" spans="1:40" s="840" customFormat="1">
      <c r="A9" s="1066"/>
      <c r="B9" s="770" t="s">
        <v>136</v>
      </c>
      <c r="C9" s="758">
        <f>'3b-RM Report Data'!J52</f>
        <v>214.1</v>
      </c>
      <c r="D9" s="758">
        <f>'3b-RM Report Data'!Q52</f>
        <v>215.35</v>
      </c>
      <c r="E9" s="758">
        <f>'3b-RM Report Data'!X52</f>
        <v>194.1</v>
      </c>
      <c r="F9" s="758">
        <f>'3b-RM Report Data'!AE52</f>
        <v>225.92</v>
      </c>
      <c r="G9" s="758">
        <f>'3b-RM Report Data'!AL52</f>
        <v>198.35</v>
      </c>
      <c r="H9" s="758">
        <f>'3b-RM Report Data'!AS52</f>
        <v>208.13</v>
      </c>
      <c r="I9" s="758">
        <f>'3b-RM Report Data'!AZ52</f>
        <v>0</v>
      </c>
      <c r="J9" s="758">
        <f>'3b-RM Report Data'!BG52</f>
        <v>0</v>
      </c>
      <c r="K9" s="758">
        <f>'3b-RM Report Data'!BN52</f>
        <v>0</v>
      </c>
      <c r="L9" s="758">
        <f>'3b-RM Report Data'!BU52</f>
        <v>0</v>
      </c>
      <c r="M9" s="758">
        <f>'3b-RM Report Data'!CB52</f>
        <v>0</v>
      </c>
      <c r="N9" s="758">
        <f>'3b-RM Report Data'!CI52</f>
        <v>0</v>
      </c>
      <c r="O9" s="771">
        <f t="shared" si="5"/>
        <v>623.54999999999995</v>
      </c>
      <c r="P9" s="771">
        <f t="shared" si="6"/>
        <v>632.4</v>
      </c>
      <c r="Q9" s="771">
        <f t="shared" si="7"/>
        <v>0</v>
      </c>
      <c r="R9" s="771">
        <f t="shared" si="8"/>
        <v>0</v>
      </c>
      <c r="S9" s="772">
        <f t="shared" si="9"/>
        <v>1255.9499999999998</v>
      </c>
      <c r="T9" s="769"/>
    </row>
    <row r="10" spans="1:40" s="748" customFormat="1" ht="14.4" thickBot="1">
      <c r="A10" s="1067"/>
      <c r="B10" s="773" t="s">
        <v>45</v>
      </c>
      <c r="C10" s="774">
        <f t="shared" ref="C10:N10" si="10">SUM(C7:C9)</f>
        <v>759.25</v>
      </c>
      <c r="D10" s="775">
        <f t="shared" si="10"/>
        <v>773.16</v>
      </c>
      <c r="E10" s="775">
        <f t="shared" si="10"/>
        <v>695.79</v>
      </c>
      <c r="F10" s="775">
        <f t="shared" si="10"/>
        <v>792.62</v>
      </c>
      <c r="G10" s="775">
        <f t="shared" si="10"/>
        <v>708.28</v>
      </c>
      <c r="H10" s="775">
        <f t="shared" si="10"/>
        <v>732.6</v>
      </c>
      <c r="I10" s="775">
        <f t="shared" si="10"/>
        <v>0</v>
      </c>
      <c r="J10" s="775">
        <f t="shared" si="10"/>
        <v>0</v>
      </c>
      <c r="K10" s="775">
        <f t="shared" si="10"/>
        <v>0</v>
      </c>
      <c r="L10" s="775">
        <f t="shared" si="10"/>
        <v>0</v>
      </c>
      <c r="M10" s="775">
        <f t="shared" si="10"/>
        <v>0</v>
      </c>
      <c r="N10" s="775">
        <f t="shared" si="10"/>
        <v>0</v>
      </c>
      <c r="O10" s="775">
        <f t="shared" ref="O10" si="11">C10+D10+E10</f>
        <v>2228.1999999999998</v>
      </c>
      <c r="P10" s="775">
        <f t="shared" ref="P10" si="12">F10+G10+H10</f>
        <v>2233.5</v>
      </c>
      <c r="Q10" s="775">
        <f t="shared" ref="Q10" si="13">I10+J10+K10</f>
        <v>0</v>
      </c>
      <c r="R10" s="775">
        <f t="shared" ref="R10" si="14">L10+M10+N10</f>
        <v>0</v>
      </c>
      <c r="S10" s="776">
        <f t="shared" ref="S10" si="15">SUM(S7:S9)</f>
        <v>4461.7</v>
      </c>
      <c r="T10" s="769"/>
    </row>
    <row r="11" spans="1:40" s="840" customFormat="1">
      <c r="A11" s="1065" t="s">
        <v>245</v>
      </c>
      <c r="B11" s="765" t="s">
        <v>141</v>
      </c>
      <c r="C11" s="766">
        <f>ROUND(Miles!C13,0)</f>
        <v>5646</v>
      </c>
      <c r="D11" s="766">
        <f>ROUND(Miles!D13,0)</f>
        <v>5963</v>
      </c>
      <c r="E11" s="766">
        <f>ROUND(Miles!E13,0)</f>
        <v>5234</v>
      </c>
      <c r="F11" s="766">
        <f>ROUND(Miles!F13,0)</f>
        <v>5754</v>
      </c>
      <c r="G11" s="766">
        <f>ROUND(Miles!G13,0)</f>
        <v>5316</v>
      </c>
      <c r="H11" s="766">
        <f>ROUND(Miles!H13,0)</f>
        <v>5259</v>
      </c>
      <c r="I11" s="766">
        <f>ROUND(Miles!I13,0)</f>
        <v>0</v>
      </c>
      <c r="J11" s="766">
        <f>ROUND(Miles!J13,0)</f>
        <v>0</v>
      </c>
      <c r="K11" s="766">
        <f>ROUND(Miles!K13,0)</f>
        <v>0</v>
      </c>
      <c r="L11" s="766">
        <f>ROUND(Miles!L13,0)</f>
        <v>0</v>
      </c>
      <c r="M11" s="766">
        <f>ROUND(Miles!M13,0)</f>
        <v>0</v>
      </c>
      <c r="N11" s="766">
        <f>ROUND(Miles!N13,0)</f>
        <v>0</v>
      </c>
      <c r="O11" s="767">
        <f t="shared" ref="O11:O13" si="16">C11+D11+E11</f>
        <v>16843</v>
      </c>
      <c r="P11" s="767">
        <f t="shared" ref="P11:P13" si="17">F11+G11+H11</f>
        <v>16329</v>
      </c>
      <c r="Q11" s="767">
        <f t="shared" ref="Q11:Q13" si="18">I11+J11+K11</f>
        <v>0</v>
      </c>
      <c r="R11" s="767">
        <f t="shared" ref="R11:R13" si="19">L11+M11+N11</f>
        <v>0</v>
      </c>
      <c r="S11" s="768">
        <f t="shared" ref="S11:S13" si="20">SUM(C11:N11)</f>
        <v>33172</v>
      </c>
      <c r="T11" s="769"/>
    </row>
    <row r="12" spans="1:40" s="840" customFormat="1">
      <c r="A12" s="1066"/>
      <c r="B12" s="770" t="s">
        <v>142</v>
      </c>
      <c r="C12" s="758">
        <f>ROUND(Miles!C14,0)</f>
        <v>5596</v>
      </c>
      <c r="D12" s="758">
        <f>ROUND(Miles!D14,0)</f>
        <v>5658</v>
      </c>
      <c r="E12" s="758">
        <f>ROUND(Miles!E14,0)</f>
        <v>5245</v>
      </c>
      <c r="F12" s="758">
        <f>ROUND(Miles!F14,0)</f>
        <v>5970</v>
      </c>
      <c r="G12" s="758">
        <f>ROUND(Miles!G14,0)</f>
        <v>5056</v>
      </c>
      <c r="H12" s="758">
        <f>ROUND(Miles!H14,0)</f>
        <v>5369</v>
      </c>
      <c r="I12" s="758">
        <f>ROUND(Miles!I14,0)</f>
        <v>0</v>
      </c>
      <c r="J12" s="758">
        <f>ROUND(Miles!J14,0)</f>
        <v>0</v>
      </c>
      <c r="K12" s="758">
        <f>ROUND(Miles!K14,0)</f>
        <v>0</v>
      </c>
      <c r="L12" s="758">
        <f>ROUND(Miles!L14,0)</f>
        <v>0</v>
      </c>
      <c r="M12" s="758">
        <f>ROUND(Miles!M14,0)</f>
        <v>0</v>
      </c>
      <c r="N12" s="758">
        <f>ROUND(Miles!N14,0)</f>
        <v>0</v>
      </c>
      <c r="O12" s="771">
        <f t="shared" si="16"/>
        <v>16499</v>
      </c>
      <c r="P12" s="771">
        <f t="shared" si="17"/>
        <v>16395</v>
      </c>
      <c r="Q12" s="771">
        <f t="shared" si="18"/>
        <v>0</v>
      </c>
      <c r="R12" s="771">
        <f t="shared" si="19"/>
        <v>0</v>
      </c>
      <c r="S12" s="772">
        <f t="shared" si="20"/>
        <v>32894</v>
      </c>
      <c r="T12" s="769"/>
    </row>
    <row r="13" spans="1:40" s="840" customFormat="1">
      <c r="A13" s="1066"/>
      <c r="B13" s="770" t="s">
        <v>136</v>
      </c>
      <c r="C13" s="758">
        <f>ROUND(Miles!C15,0)</f>
        <v>3740</v>
      </c>
      <c r="D13" s="758">
        <f>ROUND(Miles!D15,0)</f>
        <v>3631</v>
      </c>
      <c r="E13" s="758">
        <f>ROUND(Miles!E15,0)</f>
        <v>3352</v>
      </c>
      <c r="F13" s="758">
        <f>ROUND(Miles!F15,0)</f>
        <v>3812</v>
      </c>
      <c r="G13" s="758">
        <f>ROUND(Miles!G15,0)</f>
        <v>3302</v>
      </c>
      <c r="H13" s="758">
        <f>ROUND(Miles!H15,0)</f>
        <v>3474</v>
      </c>
      <c r="I13" s="758">
        <f>ROUND(Miles!I15,0)</f>
        <v>0</v>
      </c>
      <c r="J13" s="758">
        <f>ROUND(Miles!J15,0)</f>
        <v>0</v>
      </c>
      <c r="K13" s="758">
        <f>ROUND(Miles!K15,0)</f>
        <v>0</v>
      </c>
      <c r="L13" s="758">
        <f>ROUND(Miles!L15,0)</f>
        <v>0</v>
      </c>
      <c r="M13" s="758">
        <f>ROUND(Miles!M15,0)</f>
        <v>0</v>
      </c>
      <c r="N13" s="758">
        <f>ROUND(Miles!N15,0)</f>
        <v>0</v>
      </c>
      <c r="O13" s="771">
        <f t="shared" si="16"/>
        <v>10723</v>
      </c>
      <c r="P13" s="771">
        <f t="shared" si="17"/>
        <v>10588</v>
      </c>
      <c r="Q13" s="771">
        <f t="shared" si="18"/>
        <v>0</v>
      </c>
      <c r="R13" s="771">
        <f t="shared" si="19"/>
        <v>0</v>
      </c>
      <c r="S13" s="772">
        <f t="shared" si="20"/>
        <v>21311</v>
      </c>
      <c r="T13" s="769"/>
    </row>
    <row r="14" spans="1:40" s="748" customFormat="1" ht="14.4" thickBot="1">
      <c r="A14" s="1067"/>
      <c r="B14" s="773" t="s">
        <v>46</v>
      </c>
      <c r="C14" s="774">
        <f t="shared" ref="C14:N14" si="21">SUM(C11:C13)</f>
        <v>14982</v>
      </c>
      <c r="D14" s="775">
        <f t="shared" si="21"/>
        <v>15252</v>
      </c>
      <c r="E14" s="775">
        <f t="shared" si="21"/>
        <v>13831</v>
      </c>
      <c r="F14" s="775">
        <f t="shared" si="21"/>
        <v>15536</v>
      </c>
      <c r="G14" s="775">
        <f t="shared" si="21"/>
        <v>13674</v>
      </c>
      <c r="H14" s="775">
        <f t="shared" si="21"/>
        <v>14102</v>
      </c>
      <c r="I14" s="775">
        <f t="shared" si="21"/>
        <v>0</v>
      </c>
      <c r="J14" s="775">
        <f t="shared" si="21"/>
        <v>0</v>
      </c>
      <c r="K14" s="775">
        <f t="shared" si="21"/>
        <v>0</v>
      </c>
      <c r="L14" s="775">
        <f t="shared" si="21"/>
        <v>0</v>
      </c>
      <c r="M14" s="775">
        <f t="shared" si="21"/>
        <v>0</v>
      </c>
      <c r="N14" s="775">
        <f t="shared" si="21"/>
        <v>0</v>
      </c>
      <c r="O14" s="775">
        <f t="shared" ref="O14" si="22">C14+D14+E14</f>
        <v>44065</v>
      </c>
      <c r="P14" s="775">
        <f t="shared" ref="P14" si="23">F14+G14+H14</f>
        <v>43312</v>
      </c>
      <c r="Q14" s="775">
        <f t="shared" ref="Q14" si="24">I14+J14+K14</f>
        <v>0</v>
      </c>
      <c r="R14" s="775">
        <f t="shared" ref="R14" si="25">L14+M14+N14</f>
        <v>0</v>
      </c>
      <c r="S14" s="776">
        <f t="shared" ref="S14" si="26">SUM(S11:S13)</f>
        <v>87377</v>
      </c>
      <c r="T14" s="769"/>
    </row>
    <row r="15" spans="1:40" s="840" customFormat="1">
      <c r="A15" s="1065" t="s">
        <v>249</v>
      </c>
      <c r="B15" s="765" t="s">
        <v>141</v>
      </c>
      <c r="C15" s="766">
        <f>ROUND('3b-RM Report Data'!J43,0)</f>
        <v>225</v>
      </c>
      <c r="D15" s="766">
        <f>ROUND('3b-RM Report Data'!Q43,0)</f>
        <v>235</v>
      </c>
      <c r="E15" s="766">
        <f>ROUND('3b-RM Report Data'!X43,0)</f>
        <v>208</v>
      </c>
      <c r="F15" s="766">
        <f>ROUND('3b-RM Report Data'!AE43,0)</f>
        <v>233</v>
      </c>
      <c r="G15" s="766">
        <f>ROUND('3b-RM Report Data'!AL43,0)</f>
        <v>218</v>
      </c>
      <c r="H15" s="766">
        <f>ROUND('3b-RM Report Data'!AS43,0)</f>
        <v>215</v>
      </c>
      <c r="I15" s="766">
        <f>ROUND('3b-RM Report Data'!AZ43,0)</f>
        <v>0</v>
      </c>
      <c r="J15" s="766">
        <f>ROUND('3b-RM Report Data'!BG43,0)</f>
        <v>0</v>
      </c>
      <c r="K15" s="766">
        <f>ROUND('3b-RM Report Data'!BN43,0)</f>
        <v>0</v>
      </c>
      <c r="L15" s="766">
        <f>ROUND('3b-RM Report Data'!BU43,0)</f>
        <v>0</v>
      </c>
      <c r="M15" s="766">
        <f>ROUND('3b-RM Report Data'!CB43,0)</f>
        <v>0</v>
      </c>
      <c r="N15" s="766">
        <f>ROUND('3b-RM Report Data'!CI43,0)</f>
        <v>0</v>
      </c>
      <c r="O15" s="767">
        <f t="shared" ref="O15:O17" si="27">C15+D15+E15</f>
        <v>668</v>
      </c>
      <c r="P15" s="767">
        <f t="shared" ref="P15:P17" si="28">F15+G15+H15</f>
        <v>666</v>
      </c>
      <c r="Q15" s="767">
        <f t="shared" ref="Q15:Q17" si="29">I15+J15+K15</f>
        <v>0</v>
      </c>
      <c r="R15" s="767">
        <f t="shared" ref="R15:R17" si="30">L15+M15+N15</f>
        <v>0</v>
      </c>
      <c r="S15" s="768">
        <f t="shared" ref="S15:S17" si="31">SUM(C15:N15)</f>
        <v>1334</v>
      </c>
      <c r="T15" s="769"/>
    </row>
    <row r="16" spans="1:40" s="840" customFormat="1">
      <c r="A16" s="1066"/>
      <c r="B16" s="770" t="s">
        <v>142</v>
      </c>
      <c r="C16" s="758">
        <f>ROUND('3b-RM Report Data'!J47,0)</f>
        <v>244</v>
      </c>
      <c r="D16" s="758">
        <f>ROUND('3b-RM Report Data'!Q47,0)</f>
        <v>244</v>
      </c>
      <c r="E16" s="758">
        <f>ROUND('3b-RM Report Data'!X47,0)</f>
        <v>222</v>
      </c>
      <c r="F16" s="758">
        <f>ROUND('3b-RM Report Data'!AE47,0)</f>
        <v>255</v>
      </c>
      <c r="G16" s="758">
        <f>ROUND('3b-RM Report Data'!AL47,0)</f>
        <v>221</v>
      </c>
      <c r="H16" s="758">
        <f>ROUND('3b-RM Report Data'!AS47,0)</f>
        <v>233</v>
      </c>
      <c r="I16" s="758">
        <f>ROUND('3b-RM Report Data'!AZ47,0)</f>
        <v>0</v>
      </c>
      <c r="J16" s="758">
        <f>ROUND('3b-RM Report Data'!BG47,0)</f>
        <v>0</v>
      </c>
      <c r="K16" s="758">
        <f>ROUND('3b-RM Report Data'!BN47,0)</f>
        <v>0</v>
      </c>
      <c r="L16" s="758">
        <f>ROUND('3b-RM Report Data'!BU47,0)</f>
        <v>0</v>
      </c>
      <c r="M16" s="758">
        <f>ROUND('3b-RM Report Data'!CB47,0)</f>
        <v>0</v>
      </c>
      <c r="N16" s="758">
        <f>ROUND('3b-RM Report Data'!CI47,0)</f>
        <v>0</v>
      </c>
      <c r="O16" s="771">
        <f t="shared" si="27"/>
        <v>710</v>
      </c>
      <c r="P16" s="771">
        <f t="shared" si="28"/>
        <v>709</v>
      </c>
      <c r="Q16" s="771">
        <f t="shared" si="29"/>
        <v>0</v>
      </c>
      <c r="R16" s="771">
        <f t="shared" si="30"/>
        <v>0</v>
      </c>
      <c r="S16" s="772">
        <f t="shared" si="31"/>
        <v>1419</v>
      </c>
      <c r="T16" s="769"/>
    </row>
    <row r="17" spans="1:20" s="840" customFormat="1">
      <c r="A17" s="1066"/>
      <c r="B17" s="770" t="s">
        <v>136</v>
      </c>
      <c r="C17" s="758">
        <f>ROUND('3b-RM Report Data'!J51,0)</f>
        <v>194</v>
      </c>
      <c r="D17" s="758">
        <f>ROUND('3b-RM Report Data'!Q51,0)</f>
        <v>194</v>
      </c>
      <c r="E17" s="758">
        <f>ROUND('3b-RM Report Data'!X51,0)</f>
        <v>176</v>
      </c>
      <c r="F17" s="758">
        <f>ROUND('3b-RM Report Data'!AE51,0)</f>
        <v>202</v>
      </c>
      <c r="G17" s="758">
        <f>ROUND('3b-RM Report Data'!AL51,0)</f>
        <v>175</v>
      </c>
      <c r="H17" s="758">
        <f>ROUND('3b-RM Report Data'!AS51,0)</f>
        <v>184</v>
      </c>
      <c r="I17" s="758">
        <f>ROUND('3b-RM Report Data'!AZ51,0)</f>
        <v>0</v>
      </c>
      <c r="J17" s="758">
        <f>ROUND('3b-RM Report Data'!BG51,0)</f>
        <v>0</v>
      </c>
      <c r="K17" s="758">
        <f>ROUND('3b-RM Report Data'!BN51,0)</f>
        <v>0</v>
      </c>
      <c r="L17" s="758">
        <f>ROUND('3b-RM Report Data'!BU51,0)</f>
        <v>0</v>
      </c>
      <c r="M17" s="758">
        <f>ROUND('3b-RM Report Data'!CB51,0)</f>
        <v>0</v>
      </c>
      <c r="N17" s="758">
        <f>ROUND('3b-RM Report Data'!CI51,0)</f>
        <v>0</v>
      </c>
      <c r="O17" s="771">
        <f t="shared" si="27"/>
        <v>564</v>
      </c>
      <c r="P17" s="771">
        <f t="shared" si="28"/>
        <v>561</v>
      </c>
      <c r="Q17" s="771">
        <f t="shared" si="29"/>
        <v>0</v>
      </c>
      <c r="R17" s="771">
        <f t="shared" si="30"/>
        <v>0</v>
      </c>
      <c r="S17" s="772">
        <f t="shared" si="31"/>
        <v>1125</v>
      </c>
      <c r="T17" s="769"/>
    </row>
    <row r="18" spans="1:20" s="748" customFormat="1" ht="14.4" thickBot="1">
      <c r="A18" s="1067"/>
      <c r="B18" s="773" t="s">
        <v>109</v>
      </c>
      <c r="C18" s="774">
        <f t="shared" ref="C18:N18" si="32">SUM(C15:C17)</f>
        <v>663</v>
      </c>
      <c r="D18" s="775">
        <f t="shared" si="32"/>
        <v>673</v>
      </c>
      <c r="E18" s="775">
        <f t="shared" si="32"/>
        <v>606</v>
      </c>
      <c r="F18" s="775">
        <f t="shared" si="32"/>
        <v>690</v>
      </c>
      <c r="G18" s="775">
        <f t="shared" si="32"/>
        <v>614</v>
      </c>
      <c r="H18" s="775">
        <f t="shared" si="32"/>
        <v>632</v>
      </c>
      <c r="I18" s="775">
        <f t="shared" si="32"/>
        <v>0</v>
      </c>
      <c r="J18" s="775">
        <f t="shared" si="32"/>
        <v>0</v>
      </c>
      <c r="K18" s="775">
        <f t="shared" si="32"/>
        <v>0</v>
      </c>
      <c r="L18" s="775">
        <f t="shared" si="32"/>
        <v>0</v>
      </c>
      <c r="M18" s="775">
        <f t="shared" si="32"/>
        <v>0</v>
      </c>
      <c r="N18" s="775">
        <f t="shared" si="32"/>
        <v>0</v>
      </c>
      <c r="O18" s="775">
        <f t="shared" ref="O18" si="33">C18+D18+E18</f>
        <v>1942</v>
      </c>
      <c r="P18" s="775">
        <f t="shared" ref="P18" si="34">F18+G18+H18</f>
        <v>1936</v>
      </c>
      <c r="Q18" s="775">
        <f t="shared" ref="Q18" si="35">I18+J18+K18</f>
        <v>0</v>
      </c>
      <c r="R18" s="775">
        <f t="shared" ref="R18" si="36">L18+M18+N18</f>
        <v>0</v>
      </c>
      <c r="S18" s="776">
        <f t="shared" ref="S18" si="37">SUM(S15:S17)</f>
        <v>3878</v>
      </c>
      <c r="T18" s="769"/>
    </row>
    <row r="19" spans="1:20" s="840" customFormat="1">
      <c r="A19" s="1065" t="s">
        <v>246</v>
      </c>
      <c r="B19" s="765" t="s">
        <v>141</v>
      </c>
      <c r="C19" s="766">
        <f>'3b-RM Report Data'!J42</f>
        <v>4002</v>
      </c>
      <c r="D19" s="766">
        <f>'3b-RM Report Data'!Q42</f>
        <v>4306</v>
      </c>
      <c r="E19" s="766">
        <f>'3b-RM Report Data'!X42</f>
        <v>3743</v>
      </c>
      <c r="F19" s="766">
        <f>'3b-RM Report Data'!AE42</f>
        <v>4223</v>
      </c>
      <c r="G19" s="766">
        <f>'3b-RM Report Data'!AL42</f>
        <v>3933</v>
      </c>
      <c r="H19" s="766">
        <f>'3b-RM Report Data'!AS42</f>
        <v>3797</v>
      </c>
      <c r="I19" s="766">
        <f>'3b-RM Report Data'!AZ42</f>
        <v>0</v>
      </c>
      <c r="J19" s="766">
        <f>'3b-RM Report Data'!BG42</f>
        <v>0</v>
      </c>
      <c r="K19" s="766">
        <f>'3b-RM Report Data'!BN42</f>
        <v>0</v>
      </c>
      <c r="L19" s="766">
        <f>'3b-RM Report Data'!BU42</f>
        <v>0</v>
      </c>
      <c r="M19" s="766">
        <f>'3b-RM Report Data'!CB42</f>
        <v>0</v>
      </c>
      <c r="N19" s="766">
        <f>'3b-RM Report Data'!CI42</f>
        <v>0</v>
      </c>
      <c r="O19" s="767">
        <f t="shared" ref="O19:O21" si="38">C19+D19+E19</f>
        <v>12051</v>
      </c>
      <c r="P19" s="767">
        <f t="shared" ref="P19:P21" si="39">F19+G19+H19</f>
        <v>11953</v>
      </c>
      <c r="Q19" s="767">
        <f t="shared" ref="Q19:Q21" si="40">I19+J19+K19</f>
        <v>0</v>
      </c>
      <c r="R19" s="767">
        <f t="shared" ref="R19:R21" si="41">L19+M19+N19</f>
        <v>0</v>
      </c>
      <c r="S19" s="768">
        <f t="shared" ref="S19:S21" si="42">SUM(C19:N19)</f>
        <v>24004</v>
      </c>
      <c r="T19" s="769"/>
    </row>
    <row r="20" spans="1:20" s="840" customFormat="1">
      <c r="A20" s="1066"/>
      <c r="B20" s="770" t="s">
        <v>142</v>
      </c>
      <c r="C20" s="758">
        <f>'3b-RM Report Data'!J46</f>
        <v>4840</v>
      </c>
      <c r="D20" s="758">
        <f>'3b-RM Report Data'!Q46</f>
        <v>4853</v>
      </c>
      <c r="E20" s="758">
        <f>'3b-RM Report Data'!X46</f>
        <v>4405</v>
      </c>
      <c r="F20" s="758">
        <f>'3b-RM Report Data'!AE46</f>
        <v>5048</v>
      </c>
      <c r="G20" s="758">
        <f>'3b-RM Report Data'!AL46</f>
        <v>4338</v>
      </c>
      <c r="H20" s="758">
        <f>'3b-RM Report Data'!AS46</f>
        <v>4619</v>
      </c>
      <c r="I20" s="758">
        <f>'3b-RM Report Data'!AZ46</f>
        <v>0</v>
      </c>
      <c r="J20" s="758">
        <f>'3b-RM Report Data'!BG46</f>
        <v>0</v>
      </c>
      <c r="K20" s="758">
        <f>'3b-RM Report Data'!BN46</f>
        <v>0</v>
      </c>
      <c r="L20" s="758">
        <f>'3b-RM Report Data'!BU46</f>
        <v>0</v>
      </c>
      <c r="M20" s="758">
        <f>'3b-RM Report Data'!CB46</f>
        <v>0</v>
      </c>
      <c r="N20" s="758">
        <f>'3b-RM Report Data'!CI46</f>
        <v>0</v>
      </c>
      <c r="O20" s="771">
        <f t="shared" si="38"/>
        <v>14098</v>
      </c>
      <c r="P20" s="771">
        <f t="shared" si="39"/>
        <v>14005</v>
      </c>
      <c r="Q20" s="771">
        <f t="shared" si="40"/>
        <v>0</v>
      </c>
      <c r="R20" s="771">
        <f t="shared" si="41"/>
        <v>0</v>
      </c>
      <c r="S20" s="772">
        <f t="shared" si="42"/>
        <v>28103</v>
      </c>
      <c r="T20" s="769"/>
    </row>
    <row r="21" spans="1:20" s="840" customFormat="1">
      <c r="A21" s="1066"/>
      <c r="B21" s="770" t="s">
        <v>136</v>
      </c>
      <c r="C21" s="758">
        <f>'3b-RM Report Data'!J50</f>
        <v>3064</v>
      </c>
      <c r="D21" s="758">
        <f>'3b-RM Report Data'!Q50</f>
        <v>3098</v>
      </c>
      <c r="E21" s="758">
        <f>'3b-RM Report Data'!X50</f>
        <v>2932</v>
      </c>
      <c r="F21" s="758">
        <f>'3b-RM Report Data'!AE50</f>
        <v>3367</v>
      </c>
      <c r="G21" s="758">
        <f>'3b-RM Report Data'!AL50</f>
        <v>2940</v>
      </c>
      <c r="H21" s="758">
        <f>'3b-RM Report Data'!AS50</f>
        <v>3052</v>
      </c>
      <c r="I21" s="758">
        <f>'3b-RM Report Data'!AZ50</f>
        <v>0</v>
      </c>
      <c r="J21" s="758">
        <f>'3b-RM Report Data'!BG50</f>
        <v>0</v>
      </c>
      <c r="K21" s="758">
        <f>'3b-RM Report Data'!BN50</f>
        <v>0</v>
      </c>
      <c r="L21" s="758">
        <f>'3b-RM Report Data'!BU50</f>
        <v>0</v>
      </c>
      <c r="M21" s="758">
        <f>'3b-RM Report Data'!CB50</f>
        <v>0</v>
      </c>
      <c r="N21" s="758">
        <f>'3b-RM Report Data'!CI50</f>
        <v>0</v>
      </c>
      <c r="O21" s="771">
        <f t="shared" si="38"/>
        <v>9094</v>
      </c>
      <c r="P21" s="771">
        <f t="shared" si="39"/>
        <v>9359</v>
      </c>
      <c r="Q21" s="771">
        <f t="shared" si="40"/>
        <v>0</v>
      </c>
      <c r="R21" s="771">
        <f t="shared" si="41"/>
        <v>0</v>
      </c>
      <c r="S21" s="772">
        <f t="shared" si="42"/>
        <v>18453</v>
      </c>
      <c r="T21" s="769"/>
    </row>
    <row r="22" spans="1:20" s="748" customFormat="1" ht="14.4" thickBot="1">
      <c r="A22" s="1067"/>
      <c r="B22" s="773" t="s">
        <v>47</v>
      </c>
      <c r="C22" s="774">
        <f>SUM(C19:C21)</f>
        <v>11906</v>
      </c>
      <c r="D22" s="774">
        <f t="shared" ref="D22:S22" si="43">SUM(D19:D21)</f>
        <v>12257</v>
      </c>
      <c r="E22" s="774">
        <f t="shared" si="43"/>
        <v>11080</v>
      </c>
      <c r="F22" s="774">
        <f t="shared" si="43"/>
        <v>12638</v>
      </c>
      <c r="G22" s="774">
        <f t="shared" si="43"/>
        <v>11211</v>
      </c>
      <c r="H22" s="774">
        <f t="shared" si="43"/>
        <v>11468</v>
      </c>
      <c r="I22" s="774">
        <f t="shared" si="43"/>
        <v>0</v>
      </c>
      <c r="J22" s="774">
        <f t="shared" si="43"/>
        <v>0</v>
      </c>
      <c r="K22" s="774">
        <f t="shared" si="43"/>
        <v>0</v>
      </c>
      <c r="L22" s="774">
        <f t="shared" si="43"/>
        <v>0</v>
      </c>
      <c r="M22" s="774">
        <f t="shared" si="43"/>
        <v>0</v>
      </c>
      <c r="N22" s="774">
        <f t="shared" si="43"/>
        <v>0</v>
      </c>
      <c r="O22" s="775">
        <f t="shared" ref="O22" si="44">C22+D22+E22</f>
        <v>35243</v>
      </c>
      <c r="P22" s="775">
        <f t="shared" ref="P22" si="45">F22+G22+H22</f>
        <v>35317</v>
      </c>
      <c r="Q22" s="775">
        <f t="shared" ref="Q22" si="46">I22+J22+K22</f>
        <v>0</v>
      </c>
      <c r="R22" s="775">
        <f t="shared" ref="R22" si="47">L22+M22+N22</f>
        <v>0</v>
      </c>
      <c r="S22" s="776">
        <f t="shared" si="43"/>
        <v>70560</v>
      </c>
      <c r="T22" s="769"/>
    </row>
    <row r="23" spans="1:20" s="840" customFormat="1">
      <c r="A23" s="1049" t="s">
        <v>251</v>
      </c>
      <c r="B23" s="765" t="s">
        <v>141</v>
      </c>
      <c r="C23" s="766">
        <f>'3b-RM Report Data'!J63</f>
        <v>14733</v>
      </c>
      <c r="D23" s="766">
        <f>'3b-RM Report Data'!Q63</f>
        <v>15994</v>
      </c>
      <c r="E23" s="766">
        <f>'3b-RM Report Data'!X63</f>
        <v>14206</v>
      </c>
      <c r="F23" s="766">
        <f>'3b-RM Report Data'!AE63</f>
        <v>15538</v>
      </c>
      <c r="G23" s="766">
        <f>'3b-RM Report Data'!AL63</f>
        <v>13390</v>
      </c>
      <c r="H23" s="766">
        <f>'3b-RM Report Data'!AS63</f>
        <v>10717</v>
      </c>
      <c r="I23" s="766">
        <f>'3b-RM Report Data'!AZ63</f>
        <v>0</v>
      </c>
      <c r="J23" s="766">
        <f>'3b-RM Report Data'!BG63</f>
        <v>0</v>
      </c>
      <c r="K23" s="766">
        <f>'3b-RM Report Data'!BN63</f>
        <v>0</v>
      </c>
      <c r="L23" s="766">
        <f>'3b-RM Report Data'!BU63</f>
        <v>0</v>
      </c>
      <c r="M23" s="766">
        <f>'3b-RM Report Data'!CB63</f>
        <v>0</v>
      </c>
      <c r="N23" s="766">
        <f>'3b-RM Report Data'!CI63</f>
        <v>0</v>
      </c>
      <c r="O23" s="767">
        <f t="shared" ref="O23:O25" si="48">C23+D23+E23</f>
        <v>44933</v>
      </c>
      <c r="P23" s="767">
        <f t="shared" ref="P23:P25" si="49">F23+G23+H23</f>
        <v>39645</v>
      </c>
      <c r="Q23" s="767">
        <f t="shared" ref="Q23:Q25" si="50">I23+J23+K23</f>
        <v>0</v>
      </c>
      <c r="R23" s="767">
        <f t="shared" ref="R23:R25" si="51">L23+M23+N23</f>
        <v>0</v>
      </c>
      <c r="S23" s="768">
        <f t="shared" ref="S23:S29" si="52">SUM(C23:N23)</f>
        <v>84578</v>
      </c>
      <c r="T23" s="769"/>
    </row>
    <row r="24" spans="1:20" s="840" customFormat="1">
      <c r="A24" s="1050"/>
      <c r="B24" s="770" t="s">
        <v>142</v>
      </c>
      <c r="C24" s="758">
        <f>'3b-RM Report Data'!J64</f>
        <v>20681</v>
      </c>
      <c r="D24" s="758">
        <f>'3b-RM Report Data'!Q64</f>
        <v>21662</v>
      </c>
      <c r="E24" s="758">
        <f>'3b-RM Report Data'!X64</f>
        <v>17104</v>
      </c>
      <c r="F24" s="758">
        <f>'3b-RM Report Data'!AE64</f>
        <v>19994</v>
      </c>
      <c r="G24" s="758">
        <f>'3b-RM Report Data'!AL64</f>
        <v>18550</v>
      </c>
      <c r="H24" s="758">
        <f>'3b-RM Report Data'!AS64</f>
        <v>17938</v>
      </c>
      <c r="I24" s="758">
        <f>'3b-RM Report Data'!AZ64</f>
        <v>0</v>
      </c>
      <c r="J24" s="758">
        <f>'3b-RM Report Data'!BG64</f>
        <v>0</v>
      </c>
      <c r="K24" s="758">
        <f>'3b-RM Report Data'!BN64</f>
        <v>0</v>
      </c>
      <c r="L24" s="758">
        <f>'3b-RM Report Data'!BU64</f>
        <v>0</v>
      </c>
      <c r="M24" s="758">
        <f>'3b-RM Report Data'!CB64</f>
        <v>0</v>
      </c>
      <c r="N24" s="758">
        <f>'3b-RM Report Data'!CI64</f>
        <v>0</v>
      </c>
      <c r="O24" s="771">
        <f t="shared" si="48"/>
        <v>59447</v>
      </c>
      <c r="P24" s="771">
        <f t="shared" si="49"/>
        <v>56482</v>
      </c>
      <c r="Q24" s="771">
        <f t="shared" si="50"/>
        <v>0</v>
      </c>
      <c r="R24" s="771">
        <f t="shared" si="51"/>
        <v>0</v>
      </c>
      <c r="S24" s="772">
        <f t="shared" si="52"/>
        <v>115929</v>
      </c>
      <c r="T24" s="769"/>
    </row>
    <row r="25" spans="1:20" s="840" customFormat="1">
      <c r="A25" s="1050"/>
      <c r="B25" s="770" t="s">
        <v>136</v>
      </c>
      <c r="C25" s="758">
        <f>'3b-RM Report Data'!J65</f>
        <v>5837</v>
      </c>
      <c r="D25" s="758">
        <f>'3b-RM Report Data'!Q65</f>
        <v>5571</v>
      </c>
      <c r="E25" s="758">
        <f>'3b-RM Report Data'!X65</f>
        <v>6028</v>
      </c>
      <c r="F25" s="758">
        <f>'3b-RM Report Data'!AE65</f>
        <v>6816</v>
      </c>
      <c r="G25" s="758">
        <f>'3b-RM Report Data'!AL65</f>
        <v>5655</v>
      </c>
      <c r="H25" s="758">
        <f>'3b-RM Report Data'!AS65</f>
        <v>5703</v>
      </c>
      <c r="I25" s="758">
        <f>'3b-RM Report Data'!AZ65</f>
        <v>0</v>
      </c>
      <c r="J25" s="758">
        <f>'3b-RM Report Data'!BG65</f>
        <v>0</v>
      </c>
      <c r="K25" s="758">
        <f>'3b-RM Report Data'!BN65</f>
        <v>0</v>
      </c>
      <c r="L25" s="758">
        <f>'3b-RM Report Data'!BU65</f>
        <v>0</v>
      </c>
      <c r="M25" s="758">
        <f>'3b-RM Report Data'!CB65</f>
        <v>0</v>
      </c>
      <c r="N25" s="758">
        <f>'3b-RM Report Data'!CI65</f>
        <v>0</v>
      </c>
      <c r="O25" s="771">
        <f t="shared" si="48"/>
        <v>17436</v>
      </c>
      <c r="P25" s="771">
        <f t="shared" si="49"/>
        <v>18174</v>
      </c>
      <c r="Q25" s="771">
        <f t="shared" si="50"/>
        <v>0</v>
      </c>
      <c r="R25" s="771">
        <f t="shared" si="51"/>
        <v>0</v>
      </c>
      <c r="S25" s="772">
        <f t="shared" si="52"/>
        <v>35610</v>
      </c>
      <c r="T25" s="769"/>
    </row>
    <row r="26" spans="1:20" s="840" customFormat="1" ht="14.4" thickBot="1">
      <c r="A26" s="1051"/>
      <c r="B26" s="777" t="s">
        <v>241</v>
      </c>
      <c r="C26" s="778">
        <f>SUM(C23:C25)</f>
        <v>41251</v>
      </c>
      <c r="D26" s="778">
        <f t="shared" ref="D26:S26" si="53">SUM(D23:D25)</f>
        <v>43227</v>
      </c>
      <c r="E26" s="778">
        <f t="shared" si="53"/>
        <v>37338</v>
      </c>
      <c r="F26" s="778">
        <f t="shared" si="53"/>
        <v>42348</v>
      </c>
      <c r="G26" s="778">
        <f t="shared" si="53"/>
        <v>37595</v>
      </c>
      <c r="H26" s="778">
        <f t="shared" si="53"/>
        <v>34358</v>
      </c>
      <c r="I26" s="778">
        <f t="shared" si="53"/>
        <v>0</v>
      </c>
      <c r="J26" s="778">
        <f t="shared" si="53"/>
        <v>0</v>
      </c>
      <c r="K26" s="778">
        <f t="shared" si="53"/>
        <v>0</v>
      </c>
      <c r="L26" s="778">
        <f t="shared" si="53"/>
        <v>0</v>
      </c>
      <c r="M26" s="778">
        <f t="shared" si="53"/>
        <v>0</v>
      </c>
      <c r="N26" s="778">
        <f t="shared" si="53"/>
        <v>0</v>
      </c>
      <c r="O26" s="779">
        <f t="shared" ref="O26" si="54">C26+D26+E26</f>
        <v>121816</v>
      </c>
      <c r="P26" s="779">
        <f t="shared" ref="P26" si="55">F26+G26+H26</f>
        <v>114301</v>
      </c>
      <c r="Q26" s="779">
        <f t="shared" ref="Q26" si="56">I26+J26+K26</f>
        <v>0</v>
      </c>
      <c r="R26" s="779">
        <f t="shared" ref="R26" si="57">L26+M26+N26</f>
        <v>0</v>
      </c>
      <c r="S26" s="780">
        <f t="shared" si="53"/>
        <v>236117</v>
      </c>
      <c r="T26" s="769"/>
    </row>
    <row r="27" spans="1:20" s="840" customFormat="1">
      <c r="A27" s="1065" t="s">
        <v>260</v>
      </c>
      <c r="B27" s="765" t="s">
        <v>141</v>
      </c>
      <c r="C27" s="781">
        <f>Trips!H13</f>
        <v>1270</v>
      </c>
      <c r="D27" s="781">
        <f>Trips!O13</f>
        <v>1349</v>
      </c>
      <c r="E27" s="781">
        <f>Trips!V13</f>
        <v>1192</v>
      </c>
      <c r="F27" s="781">
        <f>Trips!AC13</f>
        <v>1309</v>
      </c>
      <c r="G27" s="781">
        <f>Trips!AJ13</f>
        <v>1103</v>
      </c>
      <c r="H27" s="781">
        <f>Trips!AQ13</f>
        <v>895</v>
      </c>
      <c r="I27" s="781">
        <f>Trips!AX13</f>
        <v>0</v>
      </c>
      <c r="J27" s="781">
        <f>Trips!BE13</f>
        <v>0</v>
      </c>
      <c r="K27" s="781">
        <f>Trips!BL13</f>
        <v>0</v>
      </c>
      <c r="L27" s="781">
        <f>Trips!BS13</f>
        <v>0</v>
      </c>
      <c r="M27" s="781">
        <f>Trips!BZ13</f>
        <v>0</v>
      </c>
      <c r="N27" s="781">
        <f>Trips!CG13</f>
        <v>0</v>
      </c>
      <c r="O27" s="767">
        <f t="shared" ref="O27:O29" si="58">C27+D27+E27</f>
        <v>3811</v>
      </c>
      <c r="P27" s="767">
        <f t="shared" ref="P27:P29" si="59">F27+G27+H27</f>
        <v>3307</v>
      </c>
      <c r="Q27" s="767">
        <f t="shared" ref="Q27:Q29" si="60">I27+J27+K27</f>
        <v>0</v>
      </c>
      <c r="R27" s="767">
        <f t="shared" ref="R27:R29" si="61">L27+M27+N27</f>
        <v>0</v>
      </c>
      <c r="S27" s="768">
        <f t="shared" si="52"/>
        <v>7118</v>
      </c>
      <c r="T27" s="769"/>
    </row>
    <row r="28" spans="1:20" s="840" customFormat="1">
      <c r="A28" s="1066"/>
      <c r="B28" s="770" t="s">
        <v>142</v>
      </c>
      <c r="C28" s="782">
        <f>Trips!H14</f>
        <v>1383</v>
      </c>
      <c r="D28" s="782">
        <f>Trips!O14</f>
        <v>1437</v>
      </c>
      <c r="E28" s="782">
        <f>Trips!V14</f>
        <v>1098</v>
      </c>
      <c r="F28" s="782">
        <f>Trips!AC14</f>
        <v>1303</v>
      </c>
      <c r="G28" s="782">
        <f>Trips!AJ14</f>
        <v>1245</v>
      </c>
      <c r="H28" s="782">
        <f>Trips!AQ14</f>
        <v>1182</v>
      </c>
      <c r="I28" s="782">
        <f>Trips!AX14</f>
        <v>0</v>
      </c>
      <c r="J28" s="758">
        <f>Trips!BE14</f>
        <v>0</v>
      </c>
      <c r="K28" s="758">
        <f>Trips!BL14</f>
        <v>0</v>
      </c>
      <c r="L28" s="782">
        <f>Trips!BS14</f>
        <v>0</v>
      </c>
      <c r="M28" s="782">
        <f>Trips!BZ14</f>
        <v>0</v>
      </c>
      <c r="N28" s="782">
        <f>Trips!CG14</f>
        <v>0</v>
      </c>
      <c r="O28" s="771">
        <f t="shared" si="58"/>
        <v>3918</v>
      </c>
      <c r="P28" s="771">
        <f t="shared" si="59"/>
        <v>3730</v>
      </c>
      <c r="Q28" s="771">
        <f t="shared" si="60"/>
        <v>0</v>
      </c>
      <c r="R28" s="771">
        <f t="shared" si="61"/>
        <v>0</v>
      </c>
      <c r="S28" s="772">
        <f t="shared" si="52"/>
        <v>7648</v>
      </c>
      <c r="T28" s="769"/>
    </row>
    <row r="29" spans="1:20" s="840" customFormat="1">
      <c r="A29" s="1066"/>
      <c r="B29" s="770" t="s">
        <v>136</v>
      </c>
      <c r="C29" s="782">
        <f>Trips!H15</f>
        <v>537</v>
      </c>
      <c r="D29" s="782">
        <f>Trips!O15</f>
        <v>518</v>
      </c>
      <c r="E29" s="782">
        <f>Trips!V15</f>
        <v>538</v>
      </c>
      <c r="F29" s="782">
        <f>Trips!AC15</f>
        <v>604</v>
      </c>
      <c r="G29" s="782">
        <f>Trips!AJ15</f>
        <v>505</v>
      </c>
      <c r="H29" s="782">
        <f>Trips!AQ15</f>
        <v>463</v>
      </c>
      <c r="I29" s="782">
        <f>Trips!AX15</f>
        <v>0</v>
      </c>
      <c r="J29" s="758">
        <f>Trips!BE15</f>
        <v>0</v>
      </c>
      <c r="K29" s="758">
        <f>Trips!BL15</f>
        <v>0</v>
      </c>
      <c r="L29" s="782">
        <f>Trips!BS15</f>
        <v>0</v>
      </c>
      <c r="M29" s="782">
        <f>Trips!BZ15</f>
        <v>0</v>
      </c>
      <c r="N29" s="782">
        <f>Trips!CG15</f>
        <v>0</v>
      </c>
      <c r="O29" s="771">
        <f t="shared" si="58"/>
        <v>1593</v>
      </c>
      <c r="P29" s="771">
        <f t="shared" si="59"/>
        <v>1572</v>
      </c>
      <c r="Q29" s="771">
        <f t="shared" si="60"/>
        <v>0</v>
      </c>
      <c r="R29" s="771">
        <f t="shared" si="61"/>
        <v>0</v>
      </c>
      <c r="S29" s="772">
        <f t="shared" si="52"/>
        <v>3165</v>
      </c>
      <c r="T29" s="769"/>
    </row>
    <row r="30" spans="1:20" s="748" customFormat="1" ht="14.4" thickBot="1">
      <c r="A30" s="1067"/>
      <c r="B30" s="773" t="s">
        <v>267</v>
      </c>
      <c r="C30" s="774">
        <f>SUM(C27:C29)</f>
        <v>3190</v>
      </c>
      <c r="D30" s="774">
        <f t="shared" ref="D30:N30" si="62">SUM(D27:D29)</f>
        <v>3304</v>
      </c>
      <c r="E30" s="774">
        <f t="shared" si="62"/>
        <v>2828</v>
      </c>
      <c r="F30" s="774">
        <f t="shared" si="62"/>
        <v>3216</v>
      </c>
      <c r="G30" s="774">
        <f t="shared" si="62"/>
        <v>2853</v>
      </c>
      <c r="H30" s="774">
        <f t="shared" si="62"/>
        <v>2540</v>
      </c>
      <c r="I30" s="774">
        <f t="shared" si="62"/>
        <v>0</v>
      </c>
      <c r="J30" s="774">
        <f t="shared" si="62"/>
        <v>0</v>
      </c>
      <c r="K30" s="774">
        <f t="shared" si="62"/>
        <v>0</v>
      </c>
      <c r="L30" s="774">
        <f t="shared" si="62"/>
        <v>0</v>
      </c>
      <c r="M30" s="774">
        <f t="shared" si="62"/>
        <v>0</v>
      </c>
      <c r="N30" s="774">
        <f t="shared" si="62"/>
        <v>0</v>
      </c>
      <c r="O30" s="774">
        <f t="shared" ref="O30:S30" si="63">SUM(O27:O29)</f>
        <v>9322</v>
      </c>
      <c r="P30" s="774">
        <f t="shared" si="63"/>
        <v>8609</v>
      </c>
      <c r="Q30" s="774">
        <f t="shared" si="63"/>
        <v>0</v>
      </c>
      <c r="R30" s="774">
        <f t="shared" si="63"/>
        <v>0</v>
      </c>
      <c r="S30" s="776">
        <f t="shared" si="63"/>
        <v>17931</v>
      </c>
      <c r="T30" s="769"/>
    </row>
    <row r="31" spans="1:20" ht="6" customHeight="1" thickBot="1">
      <c r="A31" s="784"/>
      <c r="B31" s="784"/>
      <c r="C31" s="784"/>
      <c r="D31" s="784"/>
      <c r="E31" s="784"/>
      <c r="F31" s="784"/>
      <c r="G31" s="784"/>
      <c r="H31" s="784"/>
      <c r="I31" s="784"/>
      <c r="J31" s="784"/>
      <c r="K31" s="784"/>
      <c r="L31" s="784"/>
      <c r="M31" s="784"/>
      <c r="N31" s="784"/>
      <c r="O31" s="784"/>
      <c r="P31" s="784"/>
      <c r="Q31" s="784"/>
      <c r="R31" s="784"/>
      <c r="S31" s="784"/>
      <c r="T31" s="785"/>
    </row>
    <row r="32" spans="1:20" s="840" customFormat="1" ht="14.4">
      <c r="A32" s="1070" t="s">
        <v>272</v>
      </c>
      <c r="B32" s="749" t="s">
        <v>187</v>
      </c>
      <c r="C32" s="787">
        <f>'OpStatTotals(AllServices)'!C21</f>
        <v>23</v>
      </c>
      <c r="D32" s="787">
        <f>'OpStatTotals(AllServices)'!D21</f>
        <v>22</v>
      </c>
      <c r="E32" s="787">
        <f>'OpStatTotals(AllServices)'!E21</f>
        <v>21</v>
      </c>
      <c r="F32" s="787">
        <f>'OpStatTotals(AllServices)'!F21</f>
        <v>23</v>
      </c>
      <c r="G32" s="787">
        <f>'OpStatTotals(AllServices)'!G21</f>
        <v>20</v>
      </c>
      <c r="H32" s="787">
        <f>'OpStatTotals(AllServices)'!H21</f>
        <v>21</v>
      </c>
      <c r="I32" s="787">
        <f>'OpStatTotals(AllServices)'!I21</f>
        <v>0</v>
      </c>
      <c r="J32" s="787">
        <f>'OpStatTotals(AllServices)'!J21</f>
        <v>0</v>
      </c>
      <c r="K32" s="787">
        <f>'OpStatTotals(AllServices)'!K21</f>
        <v>0</v>
      </c>
      <c r="L32" s="787">
        <f>'OpStatTotals(AllServices)'!L21</f>
        <v>0</v>
      </c>
      <c r="M32" s="787">
        <f>'OpStatTotals(AllServices)'!M21</f>
        <v>0</v>
      </c>
      <c r="N32" s="787">
        <f>'OpStatTotals(AllServices)'!N21</f>
        <v>0</v>
      </c>
      <c r="O32" s="788">
        <f>C32+D32+E32</f>
        <v>66</v>
      </c>
      <c r="P32" s="788">
        <f>F32+G32+H32</f>
        <v>64</v>
      </c>
      <c r="Q32" s="788">
        <f>I32+J32+K32</f>
        <v>0</v>
      </c>
      <c r="R32" s="788">
        <f>L32+M32+N32</f>
        <v>0</v>
      </c>
      <c r="S32" s="751">
        <f>SUM(C32:N32)</f>
        <v>130</v>
      </c>
      <c r="T32" s="752"/>
    </row>
    <row r="33" spans="1:20" s="845" customFormat="1" ht="14.4" thickBot="1">
      <c r="A33" s="1071"/>
      <c r="B33" s="789" t="s">
        <v>244</v>
      </c>
      <c r="C33" s="790">
        <f t="shared" ref="C33:N33" si="64">C6</f>
        <v>3</v>
      </c>
      <c r="D33" s="790">
        <f t="shared" si="64"/>
        <v>3</v>
      </c>
      <c r="E33" s="790">
        <f t="shared" si="64"/>
        <v>3</v>
      </c>
      <c r="F33" s="790">
        <f t="shared" si="64"/>
        <v>3</v>
      </c>
      <c r="G33" s="790">
        <f t="shared" si="64"/>
        <v>3</v>
      </c>
      <c r="H33" s="790">
        <f t="shared" si="64"/>
        <v>3</v>
      </c>
      <c r="I33" s="790">
        <f t="shared" si="64"/>
        <v>3</v>
      </c>
      <c r="J33" s="790">
        <f t="shared" si="64"/>
        <v>3</v>
      </c>
      <c r="K33" s="790">
        <f t="shared" si="64"/>
        <v>3</v>
      </c>
      <c r="L33" s="790">
        <f t="shared" si="64"/>
        <v>3</v>
      </c>
      <c r="M33" s="790">
        <f t="shared" si="64"/>
        <v>3</v>
      </c>
      <c r="N33" s="790">
        <f t="shared" si="64"/>
        <v>3</v>
      </c>
      <c r="O33" s="790">
        <f t="shared" ref="O33" si="65">MAX(C33,D33,E33)</f>
        <v>3</v>
      </c>
      <c r="P33" s="790">
        <f t="shared" ref="P33" si="66">MAX(F33,G33,H33)</f>
        <v>3</v>
      </c>
      <c r="Q33" s="790">
        <f t="shared" ref="Q33" si="67">MAX(I33,J33,K33)</f>
        <v>3</v>
      </c>
      <c r="R33" s="790">
        <f t="shared" ref="R33" si="68">MAX(L33,M33,N33)</f>
        <v>3</v>
      </c>
      <c r="S33" s="791">
        <f t="shared" ref="S33" si="69">MAX(C33:N33)</f>
        <v>3</v>
      </c>
      <c r="T33" s="792">
        <f>S33</f>
        <v>3</v>
      </c>
    </row>
    <row r="34" spans="1:20" s="840" customFormat="1">
      <c r="A34" s="1065" t="s">
        <v>248</v>
      </c>
      <c r="B34" s="765" t="s">
        <v>141</v>
      </c>
      <c r="C34" s="781">
        <f t="shared" ref="C34:N34" si="70">C7-C64-C95</f>
        <v>218.63</v>
      </c>
      <c r="D34" s="781">
        <f t="shared" si="70"/>
        <v>218.27999999999997</v>
      </c>
      <c r="E34" s="781">
        <f t="shared" si="70"/>
        <v>198.52</v>
      </c>
      <c r="F34" s="781">
        <f t="shared" si="70"/>
        <v>227.98000000000002</v>
      </c>
      <c r="G34" s="781">
        <f t="shared" si="70"/>
        <v>199.25</v>
      </c>
      <c r="H34" s="781">
        <f t="shared" si="70"/>
        <v>208.37</v>
      </c>
      <c r="I34" s="781">
        <f t="shared" si="70"/>
        <v>0</v>
      </c>
      <c r="J34" s="781">
        <f t="shared" si="70"/>
        <v>0</v>
      </c>
      <c r="K34" s="781">
        <f t="shared" si="70"/>
        <v>0</v>
      </c>
      <c r="L34" s="781">
        <f t="shared" si="70"/>
        <v>0</v>
      </c>
      <c r="M34" s="781">
        <f t="shared" si="70"/>
        <v>0</v>
      </c>
      <c r="N34" s="781">
        <f t="shared" si="70"/>
        <v>0</v>
      </c>
      <c r="O34" s="766">
        <f t="shared" ref="O34:O36" si="71">C34+D34+E34</f>
        <v>635.42999999999995</v>
      </c>
      <c r="P34" s="766">
        <f t="shared" ref="P34:P36" si="72">F34+G34+H34</f>
        <v>635.6</v>
      </c>
      <c r="Q34" s="766">
        <f t="shared" ref="Q34:Q36" si="73">I34+J34+K34</f>
        <v>0</v>
      </c>
      <c r="R34" s="766">
        <f t="shared" ref="R34:R36" si="74">L34+M34+N34</f>
        <v>0</v>
      </c>
      <c r="S34" s="768">
        <f>SUM(C34:N34)</f>
        <v>1271.0299999999997</v>
      </c>
      <c r="T34" s="769"/>
    </row>
    <row r="35" spans="1:20" s="840" customFormat="1">
      <c r="A35" s="1066"/>
      <c r="B35" s="770" t="s">
        <v>142</v>
      </c>
      <c r="C35" s="782">
        <f t="shared" ref="C35:N35" si="75">C8-C65-C96</f>
        <v>278.52</v>
      </c>
      <c r="D35" s="782">
        <f t="shared" si="75"/>
        <v>278.52999999999997</v>
      </c>
      <c r="E35" s="782">
        <f t="shared" si="75"/>
        <v>254.17</v>
      </c>
      <c r="F35" s="782">
        <f t="shared" si="75"/>
        <v>291.72000000000003</v>
      </c>
      <c r="G35" s="782">
        <f t="shared" si="75"/>
        <v>252.68</v>
      </c>
      <c r="H35" s="782">
        <f t="shared" si="75"/>
        <v>267.10000000000002</v>
      </c>
      <c r="I35" s="782">
        <f t="shared" si="75"/>
        <v>0</v>
      </c>
      <c r="J35" s="782">
        <f t="shared" si="75"/>
        <v>0</v>
      </c>
      <c r="K35" s="782">
        <f t="shared" si="75"/>
        <v>0</v>
      </c>
      <c r="L35" s="782">
        <f t="shared" si="75"/>
        <v>0</v>
      </c>
      <c r="M35" s="782">
        <f t="shared" si="75"/>
        <v>0</v>
      </c>
      <c r="N35" s="782">
        <f t="shared" si="75"/>
        <v>0</v>
      </c>
      <c r="O35" s="758">
        <f t="shared" si="71"/>
        <v>811.21999999999991</v>
      </c>
      <c r="P35" s="758">
        <f t="shared" si="72"/>
        <v>811.50000000000011</v>
      </c>
      <c r="Q35" s="758">
        <f t="shared" si="73"/>
        <v>0</v>
      </c>
      <c r="R35" s="758">
        <f t="shared" si="74"/>
        <v>0</v>
      </c>
      <c r="S35" s="772">
        <f t="shared" ref="S35:S36" si="76">SUM(C35:N35)</f>
        <v>1622.7200000000003</v>
      </c>
      <c r="T35" s="752"/>
    </row>
    <row r="36" spans="1:20" s="840" customFormat="1">
      <c r="A36" s="1066"/>
      <c r="B36" s="770" t="s">
        <v>136</v>
      </c>
      <c r="C36" s="782">
        <f t="shared" ref="C36:N36" si="77">C9-C66-C97</f>
        <v>214.1</v>
      </c>
      <c r="D36" s="782">
        <f t="shared" si="77"/>
        <v>215.35</v>
      </c>
      <c r="E36" s="782">
        <f t="shared" si="77"/>
        <v>194.1</v>
      </c>
      <c r="F36" s="782">
        <f t="shared" si="77"/>
        <v>225.92</v>
      </c>
      <c r="G36" s="782">
        <f t="shared" si="77"/>
        <v>198.35</v>
      </c>
      <c r="H36" s="782">
        <f t="shared" si="77"/>
        <v>208.13</v>
      </c>
      <c r="I36" s="782">
        <f t="shared" si="77"/>
        <v>0</v>
      </c>
      <c r="J36" s="782">
        <f t="shared" si="77"/>
        <v>0</v>
      </c>
      <c r="K36" s="782">
        <f t="shared" si="77"/>
        <v>0</v>
      </c>
      <c r="L36" s="782">
        <f t="shared" si="77"/>
        <v>0</v>
      </c>
      <c r="M36" s="782">
        <f t="shared" si="77"/>
        <v>0</v>
      </c>
      <c r="N36" s="782">
        <f t="shared" si="77"/>
        <v>0</v>
      </c>
      <c r="O36" s="758">
        <f t="shared" si="71"/>
        <v>623.54999999999995</v>
      </c>
      <c r="P36" s="758">
        <f t="shared" si="72"/>
        <v>632.4</v>
      </c>
      <c r="Q36" s="758">
        <f t="shared" si="73"/>
        <v>0</v>
      </c>
      <c r="R36" s="758">
        <f t="shared" si="74"/>
        <v>0</v>
      </c>
      <c r="S36" s="772">
        <f t="shared" si="76"/>
        <v>1255.9499999999998</v>
      </c>
      <c r="T36" s="752"/>
    </row>
    <row r="37" spans="1:20" s="748" customFormat="1" ht="14.4" thickBot="1">
      <c r="A37" s="1067"/>
      <c r="B37" s="773" t="s">
        <v>45</v>
      </c>
      <c r="C37" s="774">
        <f>SUM(C34:C36)</f>
        <v>711.25</v>
      </c>
      <c r="D37" s="774">
        <f t="shared" ref="D37:S37" si="78">SUM(D34:D36)</f>
        <v>712.16</v>
      </c>
      <c r="E37" s="774">
        <f t="shared" si="78"/>
        <v>646.79</v>
      </c>
      <c r="F37" s="774">
        <f t="shared" si="78"/>
        <v>745.62</v>
      </c>
      <c r="G37" s="774">
        <f t="shared" si="78"/>
        <v>650.28</v>
      </c>
      <c r="H37" s="774">
        <f t="shared" si="78"/>
        <v>683.6</v>
      </c>
      <c r="I37" s="774">
        <f t="shared" si="78"/>
        <v>0</v>
      </c>
      <c r="J37" s="774">
        <f t="shared" si="78"/>
        <v>0</v>
      </c>
      <c r="K37" s="774">
        <f t="shared" si="78"/>
        <v>0</v>
      </c>
      <c r="L37" s="774">
        <f t="shared" si="78"/>
        <v>0</v>
      </c>
      <c r="M37" s="774">
        <f t="shared" si="78"/>
        <v>0</v>
      </c>
      <c r="N37" s="774">
        <f t="shared" si="78"/>
        <v>0</v>
      </c>
      <c r="O37" s="775">
        <f t="shared" si="78"/>
        <v>2070.1999999999998</v>
      </c>
      <c r="P37" s="775">
        <f t="shared" si="78"/>
        <v>2079.5</v>
      </c>
      <c r="Q37" s="775">
        <f t="shared" si="78"/>
        <v>0</v>
      </c>
      <c r="R37" s="775">
        <f t="shared" si="78"/>
        <v>0</v>
      </c>
      <c r="S37" s="776">
        <f t="shared" si="78"/>
        <v>4149.7</v>
      </c>
      <c r="T37" s="792">
        <f>IFERROR(S37/$S$32,0)</f>
        <v>31.920769230769228</v>
      </c>
    </row>
    <row r="38" spans="1:20" s="840" customFormat="1">
      <c r="A38" s="1065" t="s">
        <v>245</v>
      </c>
      <c r="B38" s="765" t="s">
        <v>141</v>
      </c>
      <c r="C38" s="781">
        <f t="shared" ref="C38:N38" si="79">C11-C68-C100</f>
        <v>4689</v>
      </c>
      <c r="D38" s="781">
        <f t="shared" si="79"/>
        <v>4647</v>
      </c>
      <c r="E38" s="781">
        <f t="shared" si="79"/>
        <v>4222</v>
      </c>
      <c r="F38" s="781">
        <f t="shared" si="79"/>
        <v>4872</v>
      </c>
      <c r="G38" s="781">
        <f t="shared" si="79"/>
        <v>4202</v>
      </c>
      <c r="H38" s="781">
        <f t="shared" si="79"/>
        <v>4386</v>
      </c>
      <c r="I38" s="781">
        <f t="shared" si="79"/>
        <v>0</v>
      </c>
      <c r="J38" s="781">
        <f t="shared" si="79"/>
        <v>0</v>
      </c>
      <c r="K38" s="781">
        <f t="shared" si="79"/>
        <v>0</v>
      </c>
      <c r="L38" s="781">
        <f t="shared" si="79"/>
        <v>0</v>
      </c>
      <c r="M38" s="781">
        <f t="shared" si="79"/>
        <v>0</v>
      </c>
      <c r="N38" s="781">
        <f t="shared" si="79"/>
        <v>0</v>
      </c>
      <c r="O38" s="766">
        <f t="shared" ref="O38:O40" si="80">C38+D38+E38</f>
        <v>13558</v>
      </c>
      <c r="P38" s="766">
        <f t="shared" ref="P38:P40" si="81">F38+G38+H38</f>
        <v>13460</v>
      </c>
      <c r="Q38" s="766">
        <f t="shared" ref="Q38:Q40" si="82">I38+J38+K38</f>
        <v>0</v>
      </c>
      <c r="R38" s="766">
        <f t="shared" ref="R38:R40" si="83">L38+M38+N38</f>
        <v>0</v>
      </c>
      <c r="S38" s="768">
        <f t="shared" ref="S38:S40" si="84">SUM(C38:N38)</f>
        <v>27018</v>
      </c>
      <c r="T38" s="752"/>
    </row>
    <row r="39" spans="1:20" s="840" customFormat="1">
      <c r="A39" s="1066"/>
      <c r="B39" s="770" t="s">
        <v>142</v>
      </c>
      <c r="C39" s="782">
        <f t="shared" ref="C39:N39" si="85">C12-C69-C101</f>
        <v>5596</v>
      </c>
      <c r="D39" s="782">
        <f t="shared" si="85"/>
        <v>5658</v>
      </c>
      <c r="E39" s="782">
        <f t="shared" si="85"/>
        <v>5245</v>
      </c>
      <c r="F39" s="782">
        <f t="shared" si="85"/>
        <v>5970</v>
      </c>
      <c r="G39" s="782">
        <f t="shared" si="85"/>
        <v>5056</v>
      </c>
      <c r="H39" s="782">
        <f t="shared" si="85"/>
        <v>5369</v>
      </c>
      <c r="I39" s="782">
        <f t="shared" si="85"/>
        <v>0</v>
      </c>
      <c r="J39" s="782">
        <f t="shared" si="85"/>
        <v>0</v>
      </c>
      <c r="K39" s="782">
        <f t="shared" si="85"/>
        <v>0</v>
      </c>
      <c r="L39" s="782">
        <f t="shared" si="85"/>
        <v>0</v>
      </c>
      <c r="M39" s="782">
        <f t="shared" si="85"/>
        <v>0</v>
      </c>
      <c r="N39" s="782">
        <f t="shared" si="85"/>
        <v>0</v>
      </c>
      <c r="O39" s="758">
        <f t="shared" si="80"/>
        <v>16499</v>
      </c>
      <c r="P39" s="758">
        <f t="shared" si="81"/>
        <v>16395</v>
      </c>
      <c r="Q39" s="758">
        <f t="shared" si="82"/>
        <v>0</v>
      </c>
      <c r="R39" s="758">
        <f t="shared" si="83"/>
        <v>0</v>
      </c>
      <c r="S39" s="772">
        <f t="shared" si="84"/>
        <v>32894</v>
      </c>
      <c r="T39" s="752"/>
    </row>
    <row r="40" spans="1:20" s="840" customFormat="1">
      <c r="A40" s="1066"/>
      <c r="B40" s="770" t="s">
        <v>136</v>
      </c>
      <c r="C40" s="782">
        <f t="shared" ref="C40:N40" si="86">C13-C70-C102</f>
        <v>3740</v>
      </c>
      <c r="D40" s="782">
        <f t="shared" si="86"/>
        <v>3631</v>
      </c>
      <c r="E40" s="782">
        <f t="shared" si="86"/>
        <v>3352</v>
      </c>
      <c r="F40" s="782">
        <f t="shared" si="86"/>
        <v>3812</v>
      </c>
      <c r="G40" s="782">
        <f t="shared" si="86"/>
        <v>3302</v>
      </c>
      <c r="H40" s="782">
        <f t="shared" si="86"/>
        <v>3474</v>
      </c>
      <c r="I40" s="782">
        <f t="shared" si="86"/>
        <v>0</v>
      </c>
      <c r="J40" s="782">
        <f t="shared" si="86"/>
        <v>0</v>
      </c>
      <c r="K40" s="782">
        <f t="shared" si="86"/>
        <v>0</v>
      </c>
      <c r="L40" s="782">
        <f t="shared" si="86"/>
        <v>0</v>
      </c>
      <c r="M40" s="782">
        <f t="shared" si="86"/>
        <v>0</v>
      </c>
      <c r="N40" s="782">
        <f t="shared" si="86"/>
        <v>0</v>
      </c>
      <c r="O40" s="758">
        <f t="shared" si="80"/>
        <v>10723</v>
      </c>
      <c r="P40" s="758">
        <f t="shared" si="81"/>
        <v>10588</v>
      </c>
      <c r="Q40" s="758">
        <f t="shared" si="82"/>
        <v>0</v>
      </c>
      <c r="R40" s="758">
        <f t="shared" si="83"/>
        <v>0</v>
      </c>
      <c r="S40" s="772">
        <f t="shared" si="84"/>
        <v>21311</v>
      </c>
      <c r="T40" s="752"/>
    </row>
    <row r="41" spans="1:20" s="748" customFormat="1" ht="14.4" thickBot="1">
      <c r="A41" s="1067"/>
      <c r="B41" s="773" t="s">
        <v>46</v>
      </c>
      <c r="C41" s="774">
        <f>SUM(C38:C40)</f>
        <v>14025</v>
      </c>
      <c r="D41" s="774">
        <f t="shared" ref="D41" si="87">SUM(D38:D40)</f>
        <v>13936</v>
      </c>
      <c r="E41" s="774">
        <f t="shared" ref="E41" si="88">SUM(E38:E40)</f>
        <v>12819</v>
      </c>
      <c r="F41" s="774">
        <f t="shared" ref="F41" si="89">SUM(F38:F40)</f>
        <v>14654</v>
      </c>
      <c r="G41" s="774">
        <f t="shared" ref="G41" si="90">SUM(G38:G40)</f>
        <v>12560</v>
      </c>
      <c r="H41" s="774">
        <f t="shared" ref="H41" si="91">SUM(H38:H40)</f>
        <v>13229</v>
      </c>
      <c r="I41" s="774">
        <f t="shared" ref="I41" si="92">SUM(I38:I40)</f>
        <v>0</v>
      </c>
      <c r="J41" s="774">
        <f t="shared" ref="J41" si="93">SUM(J38:J40)</f>
        <v>0</v>
      </c>
      <c r="K41" s="774">
        <f t="shared" ref="K41" si="94">SUM(K38:K40)</f>
        <v>0</v>
      </c>
      <c r="L41" s="774">
        <f t="shared" ref="L41" si="95">SUM(L38:L40)</f>
        <v>0</v>
      </c>
      <c r="M41" s="774">
        <f t="shared" ref="M41" si="96">SUM(M38:M40)</f>
        <v>0</v>
      </c>
      <c r="N41" s="774">
        <f t="shared" ref="N41" si="97">SUM(N38:N40)</f>
        <v>0</v>
      </c>
      <c r="O41" s="775">
        <f t="shared" ref="O41" si="98">SUM(O38:O40)</f>
        <v>40780</v>
      </c>
      <c r="P41" s="775">
        <f t="shared" ref="P41" si="99">SUM(P38:P40)</f>
        <v>40443</v>
      </c>
      <c r="Q41" s="775">
        <f t="shared" ref="Q41" si="100">SUM(Q38:Q40)</f>
        <v>0</v>
      </c>
      <c r="R41" s="775">
        <f t="shared" ref="R41" si="101">SUM(R38:R40)</f>
        <v>0</v>
      </c>
      <c r="S41" s="776">
        <f t="shared" ref="S41" si="102">SUM(S38:S40)</f>
        <v>81223</v>
      </c>
      <c r="T41" s="792">
        <f>IFERROR(S41/$S$32,0)</f>
        <v>624.79230769230765</v>
      </c>
    </row>
    <row r="42" spans="1:20" s="840" customFormat="1">
      <c r="A42" s="1065" t="s">
        <v>249</v>
      </c>
      <c r="B42" s="765" t="s">
        <v>141</v>
      </c>
      <c r="C42" s="781">
        <f t="shared" ref="C42:N42" si="103">C15-C72-C103</f>
        <v>184</v>
      </c>
      <c r="D42" s="781">
        <f t="shared" si="103"/>
        <v>183</v>
      </c>
      <c r="E42" s="781">
        <f t="shared" si="103"/>
        <v>167</v>
      </c>
      <c r="F42" s="781">
        <f t="shared" si="103"/>
        <v>192</v>
      </c>
      <c r="G42" s="781">
        <f t="shared" si="103"/>
        <v>166</v>
      </c>
      <c r="H42" s="781">
        <f t="shared" si="103"/>
        <v>174</v>
      </c>
      <c r="I42" s="781">
        <f t="shared" si="103"/>
        <v>0</v>
      </c>
      <c r="J42" s="781">
        <f t="shared" si="103"/>
        <v>0</v>
      </c>
      <c r="K42" s="781">
        <f t="shared" si="103"/>
        <v>0</v>
      </c>
      <c r="L42" s="781">
        <f t="shared" si="103"/>
        <v>0</v>
      </c>
      <c r="M42" s="781">
        <f t="shared" si="103"/>
        <v>0</v>
      </c>
      <c r="N42" s="781">
        <f t="shared" si="103"/>
        <v>0</v>
      </c>
      <c r="O42" s="766">
        <f t="shared" ref="O42:O44" si="104">C42+D42+E42</f>
        <v>534</v>
      </c>
      <c r="P42" s="766">
        <f t="shared" ref="P42:P44" si="105">F42+G42+H42</f>
        <v>532</v>
      </c>
      <c r="Q42" s="766">
        <f t="shared" ref="Q42:Q44" si="106">I42+J42+K42</f>
        <v>0</v>
      </c>
      <c r="R42" s="766">
        <f t="shared" ref="R42:R44" si="107">L42+M42+N42</f>
        <v>0</v>
      </c>
      <c r="S42" s="768">
        <f t="shared" ref="S42:S44" si="108">SUM(C42:N42)</f>
        <v>1066</v>
      </c>
      <c r="T42" s="752"/>
    </row>
    <row r="43" spans="1:20" s="840" customFormat="1">
      <c r="A43" s="1066"/>
      <c r="B43" s="770" t="s">
        <v>142</v>
      </c>
      <c r="C43" s="782">
        <f t="shared" ref="C43:N43" si="109">C16-C73-C104</f>
        <v>244</v>
      </c>
      <c r="D43" s="782">
        <f t="shared" si="109"/>
        <v>244</v>
      </c>
      <c r="E43" s="782">
        <f t="shared" si="109"/>
        <v>222</v>
      </c>
      <c r="F43" s="782">
        <f t="shared" si="109"/>
        <v>255</v>
      </c>
      <c r="G43" s="782">
        <f t="shared" si="109"/>
        <v>221</v>
      </c>
      <c r="H43" s="782">
        <f t="shared" si="109"/>
        <v>233</v>
      </c>
      <c r="I43" s="782">
        <f t="shared" si="109"/>
        <v>0</v>
      </c>
      <c r="J43" s="782">
        <f t="shared" si="109"/>
        <v>0</v>
      </c>
      <c r="K43" s="782">
        <f t="shared" si="109"/>
        <v>0</v>
      </c>
      <c r="L43" s="782">
        <f t="shared" si="109"/>
        <v>0</v>
      </c>
      <c r="M43" s="782">
        <f t="shared" si="109"/>
        <v>0</v>
      </c>
      <c r="N43" s="782">
        <f t="shared" si="109"/>
        <v>0</v>
      </c>
      <c r="O43" s="758">
        <f t="shared" si="104"/>
        <v>710</v>
      </c>
      <c r="P43" s="758">
        <f t="shared" si="105"/>
        <v>709</v>
      </c>
      <c r="Q43" s="758">
        <f t="shared" si="106"/>
        <v>0</v>
      </c>
      <c r="R43" s="758">
        <f t="shared" si="107"/>
        <v>0</v>
      </c>
      <c r="S43" s="772">
        <f t="shared" si="108"/>
        <v>1419</v>
      </c>
      <c r="T43" s="752"/>
    </row>
    <row r="44" spans="1:20" s="840" customFormat="1">
      <c r="A44" s="1066"/>
      <c r="B44" s="770" t="s">
        <v>136</v>
      </c>
      <c r="C44" s="782">
        <f t="shared" ref="C44:N44" si="110">C17-C74-C105</f>
        <v>194</v>
      </c>
      <c r="D44" s="782">
        <f t="shared" si="110"/>
        <v>194</v>
      </c>
      <c r="E44" s="782">
        <f t="shared" si="110"/>
        <v>176</v>
      </c>
      <c r="F44" s="782">
        <f t="shared" si="110"/>
        <v>202</v>
      </c>
      <c r="G44" s="782">
        <f t="shared" si="110"/>
        <v>175</v>
      </c>
      <c r="H44" s="782">
        <f t="shared" si="110"/>
        <v>184</v>
      </c>
      <c r="I44" s="782">
        <f t="shared" si="110"/>
        <v>0</v>
      </c>
      <c r="J44" s="782">
        <f t="shared" si="110"/>
        <v>0</v>
      </c>
      <c r="K44" s="782">
        <f t="shared" si="110"/>
        <v>0</v>
      </c>
      <c r="L44" s="782">
        <f t="shared" si="110"/>
        <v>0</v>
      </c>
      <c r="M44" s="782">
        <f t="shared" si="110"/>
        <v>0</v>
      </c>
      <c r="N44" s="782">
        <f t="shared" si="110"/>
        <v>0</v>
      </c>
      <c r="O44" s="758">
        <f t="shared" si="104"/>
        <v>564</v>
      </c>
      <c r="P44" s="758">
        <f t="shared" si="105"/>
        <v>561</v>
      </c>
      <c r="Q44" s="758">
        <f t="shared" si="106"/>
        <v>0</v>
      </c>
      <c r="R44" s="758">
        <f t="shared" si="107"/>
        <v>0</v>
      </c>
      <c r="S44" s="772">
        <f t="shared" si="108"/>
        <v>1125</v>
      </c>
      <c r="T44" s="752"/>
    </row>
    <row r="45" spans="1:20" s="748" customFormat="1" ht="14.4" thickBot="1">
      <c r="A45" s="1067"/>
      <c r="B45" s="773" t="s">
        <v>109</v>
      </c>
      <c r="C45" s="774">
        <f>SUM(C42:C44)</f>
        <v>622</v>
      </c>
      <c r="D45" s="774">
        <f t="shared" ref="D45" si="111">SUM(D42:D44)</f>
        <v>621</v>
      </c>
      <c r="E45" s="774">
        <f t="shared" ref="E45" si="112">SUM(E42:E44)</f>
        <v>565</v>
      </c>
      <c r="F45" s="774">
        <f t="shared" ref="F45" si="113">SUM(F42:F44)</f>
        <v>649</v>
      </c>
      <c r="G45" s="774">
        <f t="shared" ref="G45" si="114">SUM(G42:G44)</f>
        <v>562</v>
      </c>
      <c r="H45" s="774">
        <f t="shared" ref="H45" si="115">SUM(H42:H44)</f>
        <v>591</v>
      </c>
      <c r="I45" s="774">
        <f t="shared" ref="I45" si="116">SUM(I42:I44)</f>
        <v>0</v>
      </c>
      <c r="J45" s="774">
        <f t="shared" ref="J45" si="117">SUM(J42:J44)</f>
        <v>0</v>
      </c>
      <c r="K45" s="774">
        <f t="shared" ref="K45" si="118">SUM(K42:K44)</f>
        <v>0</v>
      </c>
      <c r="L45" s="774">
        <f t="shared" ref="L45" si="119">SUM(L42:L44)</f>
        <v>0</v>
      </c>
      <c r="M45" s="774">
        <f t="shared" ref="M45" si="120">SUM(M42:M44)</f>
        <v>0</v>
      </c>
      <c r="N45" s="774">
        <f t="shared" ref="N45" si="121">SUM(N42:N44)</f>
        <v>0</v>
      </c>
      <c r="O45" s="775">
        <f t="shared" ref="O45" si="122">SUM(O42:O44)</f>
        <v>1808</v>
      </c>
      <c r="P45" s="775">
        <f t="shared" ref="P45" si="123">SUM(P42:P44)</f>
        <v>1802</v>
      </c>
      <c r="Q45" s="775">
        <f t="shared" ref="Q45" si="124">SUM(Q42:Q44)</f>
        <v>0</v>
      </c>
      <c r="R45" s="775">
        <f t="shared" ref="R45" si="125">SUM(R42:R44)</f>
        <v>0</v>
      </c>
      <c r="S45" s="776">
        <f t="shared" ref="S45" si="126">SUM(S42:S44)</f>
        <v>3610</v>
      </c>
      <c r="T45" s="792">
        <f>IFERROR(S45/$S$32,0)</f>
        <v>27.76923076923077</v>
      </c>
    </row>
    <row r="46" spans="1:20" s="840" customFormat="1">
      <c r="A46" s="1072" t="s">
        <v>246</v>
      </c>
      <c r="B46" s="765" t="s">
        <v>141</v>
      </c>
      <c r="C46" s="781">
        <f t="shared" ref="C46:N46" si="127">C19-C76-C107</f>
        <v>3327</v>
      </c>
      <c r="D46" s="781">
        <f t="shared" si="127"/>
        <v>3367</v>
      </c>
      <c r="E46" s="781">
        <f t="shared" si="127"/>
        <v>2987</v>
      </c>
      <c r="F46" s="781">
        <f t="shared" si="127"/>
        <v>3539</v>
      </c>
      <c r="G46" s="781">
        <f t="shared" si="127"/>
        <v>3021</v>
      </c>
      <c r="H46" s="781">
        <f t="shared" si="127"/>
        <v>3119</v>
      </c>
      <c r="I46" s="781">
        <f t="shared" si="127"/>
        <v>0</v>
      </c>
      <c r="J46" s="781">
        <f t="shared" si="127"/>
        <v>0</v>
      </c>
      <c r="K46" s="781">
        <f t="shared" si="127"/>
        <v>0</v>
      </c>
      <c r="L46" s="781">
        <f t="shared" si="127"/>
        <v>0</v>
      </c>
      <c r="M46" s="781">
        <f t="shared" si="127"/>
        <v>0</v>
      </c>
      <c r="N46" s="781">
        <f t="shared" si="127"/>
        <v>0</v>
      </c>
      <c r="O46" s="766">
        <f t="shared" ref="O46:O48" si="128">C46+D46+E46</f>
        <v>9681</v>
      </c>
      <c r="P46" s="766">
        <f t="shared" ref="P46:P48" si="129">F46+G46+H46</f>
        <v>9679</v>
      </c>
      <c r="Q46" s="766">
        <f t="shared" ref="Q46:Q48" si="130">I46+J46+K46</f>
        <v>0</v>
      </c>
      <c r="R46" s="766">
        <f t="shared" ref="R46:R48" si="131">L46+M46+N46</f>
        <v>0</v>
      </c>
      <c r="S46" s="768">
        <f t="shared" ref="S46:S48" si="132">SUM(C46:N46)</f>
        <v>19360</v>
      </c>
      <c r="T46" s="752"/>
    </row>
    <row r="47" spans="1:20" s="840" customFormat="1">
      <c r="A47" s="1073"/>
      <c r="B47" s="770" t="s">
        <v>142</v>
      </c>
      <c r="C47" s="782">
        <f t="shared" ref="C47:N47" si="133">C20-C77-C108</f>
        <v>4840</v>
      </c>
      <c r="D47" s="782">
        <f t="shared" si="133"/>
        <v>4853</v>
      </c>
      <c r="E47" s="782">
        <f t="shared" si="133"/>
        <v>4405</v>
      </c>
      <c r="F47" s="782">
        <f t="shared" si="133"/>
        <v>5048</v>
      </c>
      <c r="G47" s="782">
        <f t="shared" si="133"/>
        <v>4338</v>
      </c>
      <c r="H47" s="782">
        <f t="shared" si="133"/>
        <v>4619</v>
      </c>
      <c r="I47" s="782">
        <f t="shared" si="133"/>
        <v>0</v>
      </c>
      <c r="J47" s="782">
        <f t="shared" si="133"/>
        <v>0</v>
      </c>
      <c r="K47" s="782">
        <f t="shared" si="133"/>
        <v>0</v>
      </c>
      <c r="L47" s="782">
        <f t="shared" si="133"/>
        <v>0</v>
      </c>
      <c r="M47" s="782">
        <f t="shared" si="133"/>
        <v>0</v>
      </c>
      <c r="N47" s="782">
        <f t="shared" si="133"/>
        <v>0</v>
      </c>
      <c r="O47" s="758">
        <f t="shared" si="128"/>
        <v>14098</v>
      </c>
      <c r="P47" s="758">
        <f t="shared" si="129"/>
        <v>14005</v>
      </c>
      <c r="Q47" s="758">
        <f t="shared" si="130"/>
        <v>0</v>
      </c>
      <c r="R47" s="758">
        <f t="shared" si="131"/>
        <v>0</v>
      </c>
      <c r="S47" s="772">
        <f t="shared" si="132"/>
        <v>28103</v>
      </c>
      <c r="T47" s="752"/>
    </row>
    <row r="48" spans="1:20" s="840" customFormat="1">
      <c r="A48" s="1073"/>
      <c r="B48" s="770" t="s">
        <v>136</v>
      </c>
      <c r="C48" s="782">
        <f t="shared" ref="C48:N48" si="134">C21-C78-C109</f>
        <v>3064</v>
      </c>
      <c r="D48" s="782">
        <f t="shared" si="134"/>
        <v>3098</v>
      </c>
      <c r="E48" s="782">
        <f t="shared" si="134"/>
        <v>2932</v>
      </c>
      <c r="F48" s="782">
        <f t="shared" si="134"/>
        <v>3367</v>
      </c>
      <c r="G48" s="782">
        <f t="shared" si="134"/>
        <v>2940</v>
      </c>
      <c r="H48" s="782">
        <f t="shared" si="134"/>
        <v>3052</v>
      </c>
      <c r="I48" s="782">
        <f t="shared" si="134"/>
        <v>0</v>
      </c>
      <c r="J48" s="782">
        <f t="shared" si="134"/>
        <v>0</v>
      </c>
      <c r="K48" s="782">
        <f t="shared" si="134"/>
        <v>0</v>
      </c>
      <c r="L48" s="782">
        <f t="shared" si="134"/>
        <v>0</v>
      </c>
      <c r="M48" s="782">
        <f t="shared" si="134"/>
        <v>0</v>
      </c>
      <c r="N48" s="782">
        <f t="shared" si="134"/>
        <v>0</v>
      </c>
      <c r="O48" s="758">
        <f t="shared" si="128"/>
        <v>9094</v>
      </c>
      <c r="P48" s="758">
        <f t="shared" si="129"/>
        <v>9359</v>
      </c>
      <c r="Q48" s="758">
        <f t="shared" si="130"/>
        <v>0</v>
      </c>
      <c r="R48" s="758">
        <f t="shared" si="131"/>
        <v>0</v>
      </c>
      <c r="S48" s="772">
        <f t="shared" si="132"/>
        <v>18453</v>
      </c>
      <c r="T48" s="752"/>
    </row>
    <row r="49" spans="1:20" s="748" customFormat="1" ht="14.4" thickBot="1">
      <c r="A49" s="1074"/>
      <c r="B49" s="773" t="s">
        <v>47</v>
      </c>
      <c r="C49" s="774">
        <f>SUM(C46:C48)</f>
        <v>11231</v>
      </c>
      <c r="D49" s="774">
        <f t="shared" ref="D49" si="135">SUM(D46:D48)</f>
        <v>11318</v>
      </c>
      <c r="E49" s="774">
        <f t="shared" ref="E49" si="136">SUM(E46:E48)</f>
        <v>10324</v>
      </c>
      <c r="F49" s="774">
        <f t="shared" ref="F49" si="137">SUM(F46:F48)</f>
        <v>11954</v>
      </c>
      <c r="G49" s="774">
        <f t="shared" ref="G49" si="138">SUM(G46:G48)</f>
        <v>10299</v>
      </c>
      <c r="H49" s="774">
        <f t="shared" ref="H49" si="139">SUM(H46:H48)</f>
        <v>10790</v>
      </c>
      <c r="I49" s="774">
        <f t="shared" ref="I49" si="140">SUM(I46:I48)</f>
        <v>0</v>
      </c>
      <c r="J49" s="774">
        <f t="shared" ref="J49" si="141">SUM(J46:J48)</f>
        <v>0</v>
      </c>
      <c r="K49" s="774">
        <f t="shared" ref="K49" si="142">SUM(K46:K48)</f>
        <v>0</v>
      </c>
      <c r="L49" s="774">
        <f t="shared" ref="L49" si="143">SUM(L46:L48)</f>
        <v>0</v>
      </c>
      <c r="M49" s="774">
        <f t="shared" ref="M49" si="144">SUM(M46:M48)</f>
        <v>0</v>
      </c>
      <c r="N49" s="774">
        <f t="shared" ref="N49" si="145">SUM(N46:N48)</f>
        <v>0</v>
      </c>
      <c r="O49" s="775">
        <f t="shared" ref="O49" si="146">SUM(O46:O48)</f>
        <v>32873</v>
      </c>
      <c r="P49" s="775">
        <f t="shared" ref="P49" si="147">SUM(P46:P48)</f>
        <v>33043</v>
      </c>
      <c r="Q49" s="775">
        <f t="shared" ref="Q49" si="148">SUM(Q46:Q48)</f>
        <v>0</v>
      </c>
      <c r="R49" s="775">
        <f t="shared" ref="R49" si="149">SUM(R46:R48)</f>
        <v>0</v>
      </c>
      <c r="S49" s="776">
        <f t="shared" ref="S49" si="150">SUM(S46:S48)</f>
        <v>65916</v>
      </c>
      <c r="T49" s="792">
        <f>IFERROR(S49/$S$32,0)</f>
        <v>507.04615384615386</v>
      </c>
    </row>
    <row r="50" spans="1:20" s="840" customFormat="1">
      <c r="A50" s="1065" t="s">
        <v>251</v>
      </c>
      <c r="B50" s="765" t="s">
        <v>141</v>
      </c>
      <c r="C50" s="781">
        <f t="shared" ref="C50:N50" si="151">C23-C80-C111</f>
        <v>13009</v>
      </c>
      <c r="D50" s="781">
        <f t="shared" si="151"/>
        <v>13722</v>
      </c>
      <c r="E50" s="781">
        <f t="shared" si="151"/>
        <v>12250</v>
      </c>
      <c r="F50" s="781">
        <f t="shared" si="151"/>
        <v>14032</v>
      </c>
      <c r="G50" s="781">
        <f t="shared" si="151"/>
        <v>11189</v>
      </c>
      <c r="H50" s="781">
        <f t="shared" si="151"/>
        <v>9486</v>
      </c>
      <c r="I50" s="781">
        <f t="shared" si="151"/>
        <v>0</v>
      </c>
      <c r="J50" s="781">
        <f t="shared" si="151"/>
        <v>0</v>
      </c>
      <c r="K50" s="781">
        <f t="shared" si="151"/>
        <v>0</v>
      </c>
      <c r="L50" s="781">
        <f t="shared" si="151"/>
        <v>0</v>
      </c>
      <c r="M50" s="781">
        <f t="shared" si="151"/>
        <v>0</v>
      </c>
      <c r="N50" s="781">
        <f t="shared" si="151"/>
        <v>0</v>
      </c>
      <c r="O50" s="766">
        <f t="shared" ref="O50:O52" si="152">C50+D50+E50</f>
        <v>38981</v>
      </c>
      <c r="P50" s="766">
        <f t="shared" ref="P50:P52" si="153">F50+G50+H50</f>
        <v>34707</v>
      </c>
      <c r="Q50" s="766">
        <f t="shared" ref="Q50:Q52" si="154">I50+J50+K50</f>
        <v>0</v>
      </c>
      <c r="R50" s="766">
        <f t="shared" ref="R50:R52" si="155">L50+M50+N50</f>
        <v>0</v>
      </c>
      <c r="S50" s="768">
        <f t="shared" ref="S50:S56" si="156">SUM(C50:N50)</f>
        <v>73688</v>
      </c>
      <c r="T50" s="752"/>
    </row>
    <row r="51" spans="1:20" s="840" customFormat="1">
      <c r="A51" s="1066"/>
      <c r="B51" s="770" t="s">
        <v>142</v>
      </c>
      <c r="C51" s="782">
        <f t="shared" ref="C51:N51" si="157">C24-C81-C112</f>
        <v>20681</v>
      </c>
      <c r="D51" s="782">
        <f t="shared" si="157"/>
        <v>21662</v>
      </c>
      <c r="E51" s="782">
        <f t="shared" si="157"/>
        <v>17104</v>
      </c>
      <c r="F51" s="782">
        <f t="shared" si="157"/>
        <v>19994</v>
      </c>
      <c r="G51" s="782">
        <f t="shared" si="157"/>
        <v>18550</v>
      </c>
      <c r="H51" s="782">
        <f t="shared" si="157"/>
        <v>17938</v>
      </c>
      <c r="I51" s="782">
        <f t="shared" si="157"/>
        <v>0</v>
      </c>
      <c r="J51" s="782">
        <f t="shared" si="157"/>
        <v>0</v>
      </c>
      <c r="K51" s="782">
        <f t="shared" si="157"/>
        <v>0</v>
      </c>
      <c r="L51" s="782">
        <f t="shared" si="157"/>
        <v>0</v>
      </c>
      <c r="M51" s="782">
        <f t="shared" si="157"/>
        <v>0</v>
      </c>
      <c r="N51" s="782">
        <f t="shared" si="157"/>
        <v>0</v>
      </c>
      <c r="O51" s="758">
        <f t="shared" si="152"/>
        <v>59447</v>
      </c>
      <c r="P51" s="758">
        <f t="shared" si="153"/>
        <v>56482</v>
      </c>
      <c r="Q51" s="758">
        <f t="shared" si="154"/>
        <v>0</v>
      </c>
      <c r="R51" s="758">
        <f t="shared" si="155"/>
        <v>0</v>
      </c>
      <c r="S51" s="772">
        <f t="shared" si="156"/>
        <v>115929</v>
      </c>
      <c r="T51" s="752"/>
    </row>
    <row r="52" spans="1:20" s="840" customFormat="1">
      <c r="A52" s="1066"/>
      <c r="B52" s="770" t="s">
        <v>136</v>
      </c>
      <c r="C52" s="782">
        <f t="shared" ref="C52:N52" si="158">C25-C82-C113</f>
        <v>5837</v>
      </c>
      <c r="D52" s="782">
        <f t="shared" si="158"/>
        <v>5571</v>
      </c>
      <c r="E52" s="782">
        <f t="shared" si="158"/>
        <v>6028</v>
      </c>
      <c r="F52" s="782">
        <f t="shared" si="158"/>
        <v>6816</v>
      </c>
      <c r="G52" s="782">
        <f t="shared" si="158"/>
        <v>5655</v>
      </c>
      <c r="H52" s="782">
        <f t="shared" si="158"/>
        <v>5703</v>
      </c>
      <c r="I52" s="782">
        <f t="shared" si="158"/>
        <v>0</v>
      </c>
      <c r="J52" s="782">
        <f t="shared" si="158"/>
        <v>0</v>
      </c>
      <c r="K52" s="782">
        <f t="shared" si="158"/>
        <v>0</v>
      </c>
      <c r="L52" s="782">
        <f t="shared" si="158"/>
        <v>0</v>
      </c>
      <c r="M52" s="782">
        <f t="shared" si="158"/>
        <v>0</v>
      </c>
      <c r="N52" s="782">
        <f t="shared" si="158"/>
        <v>0</v>
      </c>
      <c r="O52" s="758">
        <f t="shared" si="152"/>
        <v>17436</v>
      </c>
      <c r="P52" s="758">
        <f t="shared" si="153"/>
        <v>18174</v>
      </c>
      <c r="Q52" s="758">
        <f t="shared" si="154"/>
        <v>0</v>
      </c>
      <c r="R52" s="758">
        <f t="shared" si="155"/>
        <v>0</v>
      </c>
      <c r="S52" s="772">
        <f t="shared" si="156"/>
        <v>35610</v>
      </c>
      <c r="T52" s="752"/>
    </row>
    <row r="53" spans="1:20" s="840" customFormat="1" ht="14.4" thickBot="1">
      <c r="A53" s="1067"/>
      <c r="B53" s="773" t="s">
        <v>241</v>
      </c>
      <c r="C53" s="774">
        <f>SUM(C50:C52)</f>
        <v>39527</v>
      </c>
      <c r="D53" s="774">
        <f t="shared" ref="D53" si="159">SUM(D50:D52)</f>
        <v>40955</v>
      </c>
      <c r="E53" s="774">
        <f t="shared" ref="E53" si="160">SUM(E50:E52)</f>
        <v>35382</v>
      </c>
      <c r="F53" s="774">
        <f t="shared" ref="F53" si="161">SUM(F50:F52)</f>
        <v>40842</v>
      </c>
      <c r="G53" s="774">
        <f t="shared" ref="G53" si="162">SUM(G50:G52)</f>
        <v>35394</v>
      </c>
      <c r="H53" s="774">
        <f t="shared" ref="H53" si="163">SUM(H50:H52)</f>
        <v>33127</v>
      </c>
      <c r="I53" s="774">
        <f t="shared" ref="I53" si="164">SUM(I50:I52)</f>
        <v>0</v>
      </c>
      <c r="J53" s="774">
        <f t="shared" ref="J53" si="165">SUM(J50:J52)</f>
        <v>0</v>
      </c>
      <c r="K53" s="774">
        <f t="shared" ref="K53" si="166">SUM(K50:K52)</f>
        <v>0</v>
      </c>
      <c r="L53" s="774">
        <f t="shared" ref="L53" si="167">SUM(L50:L52)</f>
        <v>0</v>
      </c>
      <c r="M53" s="774">
        <f t="shared" ref="M53" si="168">SUM(M50:M52)</f>
        <v>0</v>
      </c>
      <c r="N53" s="774">
        <f t="shared" ref="N53" si="169">SUM(N50:N52)</f>
        <v>0</v>
      </c>
      <c r="O53" s="775">
        <f t="shared" ref="O53" si="170">SUM(O50:O52)</f>
        <v>115864</v>
      </c>
      <c r="P53" s="775">
        <f t="shared" ref="P53" si="171">SUM(P50:P52)</f>
        <v>109363</v>
      </c>
      <c r="Q53" s="775">
        <f t="shared" ref="Q53" si="172">SUM(Q50:Q52)</f>
        <v>0</v>
      </c>
      <c r="R53" s="775">
        <f t="shared" ref="R53" si="173">SUM(R50:R52)</f>
        <v>0</v>
      </c>
      <c r="S53" s="776">
        <f t="shared" ref="S53" si="174">SUM(S50:S52)</f>
        <v>225227</v>
      </c>
      <c r="T53" s="792">
        <f>IFERROR(S53/$S$32,0)</f>
        <v>1732.5153846153846</v>
      </c>
    </row>
    <row r="54" spans="1:20" s="840" customFormat="1">
      <c r="A54" s="1065" t="s">
        <v>260</v>
      </c>
      <c r="B54" s="765" t="s">
        <v>141</v>
      </c>
      <c r="C54" s="781">
        <f t="shared" ref="C54:N54" si="175">C27-C84-C115</f>
        <v>1120</v>
      </c>
      <c r="D54" s="781">
        <f t="shared" si="175"/>
        <v>1193</v>
      </c>
      <c r="E54" s="781">
        <f t="shared" si="175"/>
        <v>1046</v>
      </c>
      <c r="F54" s="781">
        <f t="shared" si="175"/>
        <v>1192</v>
      </c>
      <c r="G54" s="781">
        <f t="shared" si="175"/>
        <v>948</v>
      </c>
      <c r="H54" s="781">
        <f t="shared" si="175"/>
        <v>796</v>
      </c>
      <c r="I54" s="781">
        <f t="shared" si="175"/>
        <v>0</v>
      </c>
      <c r="J54" s="781">
        <f t="shared" si="175"/>
        <v>0</v>
      </c>
      <c r="K54" s="781">
        <f t="shared" si="175"/>
        <v>0</v>
      </c>
      <c r="L54" s="781">
        <f t="shared" si="175"/>
        <v>0</v>
      </c>
      <c r="M54" s="781">
        <f t="shared" si="175"/>
        <v>0</v>
      </c>
      <c r="N54" s="781">
        <f t="shared" si="175"/>
        <v>0</v>
      </c>
      <c r="O54" s="766">
        <f t="shared" ref="O54:O56" si="176">C54+D54+E54</f>
        <v>3359</v>
      </c>
      <c r="P54" s="766">
        <f t="shared" ref="P54:P56" si="177">F54+G54+H54</f>
        <v>2936</v>
      </c>
      <c r="Q54" s="766">
        <f t="shared" ref="Q54:Q56" si="178">I54+J54+K54</f>
        <v>0</v>
      </c>
      <c r="R54" s="766">
        <f t="shared" ref="R54:R56" si="179">L54+M54+N54</f>
        <v>0</v>
      </c>
      <c r="S54" s="768">
        <f t="shared" si="156"/>
        <v>6295</v>
      </c>
      <c r="T54" s="752"/>
    </row>
    <row r="55" spans="1:20" s="840" customFormat="1">
      <c r="A55" s="1066"/>
      <c r="B55" s="770" t="s">
        <v>142</v>
      </c>
      <c r="C55" s="782">
        <f t="shared" ref="C55:N55" si="180">C28-C85-C116</f>
        <v>1383</v>
      </c>
      <c r="D55" s="782">
        <f t="shared" si="180"/>
        <v>1437</v>
      </c>
      <c r="E55" s="782">
        <f t="shared" si="180"/>
        <v>1098</v>
      </c>
      <c r="F55" s="782">
        <f t="shared" si="180"/>
        <v>1303</v>
      </c>
      <c r="G55" s="782">
        <f t="shared" si="180"/>
        <v>1245</v>
      </c>
      <c r="H55" s="782">
        <f t="shared" si="180"/>
        <v>1182</v>
      </c>
      <c r="I55" s="782">
        <f t="shared" si="180"/>
        <v>0</v>
      </c>
      <c r="J55" s="782">
        <f t="shared" si="180"/>
        <v>0</v>
      </c>
      <c r="K55" s="782">
        <f t="shared" si="180"/>
        <v>0</v>
      </c>
      <c r="L55" s="782">
        <f t="shared" si="180"/>
        <v>0</v>
      </c>
      <c r="M55" s="782">
        <f t="shared" si="180"/>
        <v>0</v>
      </c>
      <c r="N55" s="782">
        <f t="shared" si="180"/>
        <v>0</v>
      </c>
      <c r="O55" s="758">
        <f t="shared" si="176"/>
        <v>3918</v>
      </c>
      <c r="P55" s="758">
        <f t="shared" si="177"/>
        <v>3730</v>
      </c>
      <c r="Q55" s="758">
        <f t="shared" si="178"/>
        <v>0</v>
      </c>
      <c r="R55" s="758">
        <f t="shared" si="179"/>
        <v>0</v>
      </c>
      <c r="S55" s="772">
        <f t="shared" si="156"/>
        <v>7648</v>
      </c>
      <c r="T55" s="752"/>
    </row>
    <row r="56" spans="1:20" s="840" customFormat="1">
      <c r="A56" s="1066"/>
      <c r="B56" s="770" t="s">
        <v>136</v>
      </c>
      <c r="C56" s="782">
        <f t="shared" ref="C56:N56" si="181">C29-C86-C117</f>
        <v>537</v>
      </c>
      <c r="D56" s="782">
        <f t="shared" si="181"/>
        <v>518</v>
      </c>
      <c r="E56" s="782">
        <f t="shared" si="181"/>
        <v>538</v>
      </c>
      <c r="F56" s="782">
        <f t="shared" si="181"/>
        <v>604</v>
      </c>
      <c r="G56" s="782">
        <f t="shared" si="181"/>
        <v>505</v>
      </c>
      <c r="H56" s="782">
        <f t="shared" si="181"/>
        <v>463</v>
      </c>
      <c r="I56" s="782">
        <f t="shared" si="181"/>
        <v>0</v>
      </c>
      <c r="J56" s="782">
        <f t="shared" si="181"/>
        <v>0</v>
      </c>
      <c r="K56" s="782">
        <f t="shared" si="181"/>
        <v>0</v>
      </c>
      <c r="L56" s="782">
        <f t="shared" si="181"/>
        <v>0</v>
      </c>
      <c r="M56" s="782">
        <f t="shared" si="181"/>
        <v>0</v>
      </c>
      <c r="N56" s="782">
        <f t="shared" si="181"/>
        <v>0</v>
      </c>
      <c r="O56" s="758">
        <f t="shared" si="176"/>
        <v>1593</v>
      </c>
      <c r="P56" s="758">
        <f t="shared" si="177"/>
        <v>1572</v>
      </c>
      <c r="Q56" s="758">
        <f t="shared" si="178"/>
        <v>0</v>
      </c>
      <c r="R56" s="758">
        <f t="shared" si="179"/>
        <v>0</v>
      </c>
      <c r="S56" s="772">
        <f t="shared" si="156"/>
        <v>3165</v>
      </c>
      <c r="T56" s="752"/>
    </row>
    <row r="57" spans="1:20" s="748" customFormat="1" ht="14.4" thickBot="1">
      <c r="A57" s="1067"/>
      <c r="B57" s="773" t="s">
        <v>267</v>
      </c>
      <c r="C57" s="774">
        <f>SUM(C54:C56)</f>
        <v>3040</v>
      </c>
      <c r="D57" s="774">
        <f t="shared" ref="D57:N57" si="182">SUM(D54:D56)</f>
        <v>3148</v>
      </c>
      <c r="E57" s="774">
        <f t="shared" si="182"/>
        <v>2682</v>
      </c>
      <c r="F57" s="774">
        <f t="shared" si="182"/>
        <v>3099</v>
      </c>
      <c r="G57" s="774">
        <f t="shared" si="182"/>
        <v>2698</v>
      </c>
      <c r="H57" s="774">
        <f t="shared" si="182"/>
        <v>2441</v>
      </c>
      <c r="I57" s="774">
        <f t="shared" si="182"/>
        <v>0</v>
      </c>
      <c r="J57" s="774">
        <f t="shared" si="182"/>
        <v>0</v>
      </c>
      <c r="K57" s="774">
        <f t="shared" si="182"/>
        <v>0</v>
      </c>
      <c r="L57" s="774">
        <f t="shared" si="182"/>
        <v>0</v>
      </c>
      <c r="M57" s="774">
        <f t="shared" si="182"/>
        <v>0</v>
      </c>
      <c r="N57" s="774">
        <f t="shared" si="182"/>
        <v>0</v>
      </c>
      <c r="O57" s="774">
        <f t="shared" ref="O57" si="183">SUM(O54:O56)</f>
        <v>8870</v>
      </c>
      <c r="P57" s="774">
        <f t="shared" ref="P57" si="184">SUM(P54:P56)</f>
        <v>8238</v>
      </c>
      <c r="Q57" s="774">
        <f t="shared" ref="Q57" si="185">SUM(Q54:Q56)</f>
        <v>0</v>
      </c>
      <c r="R57" s="774">
        <f t="shared" ref="R57" si="186">SUM(R54:R56)</f>
        <v>0</v>
      </c>
      <c r="S57" s="776">
        <f t="shared" ref="S57" si="187">SUM(S54:S56)</f>
        <v>17108</v>
      </c>
      <c r="T57" s="792">
        <f>IFERROR(S57/$S$32,0)</f>
        <v>131.6</v>
      </c>
    </row>
    <row r="58" spans="1:20" s="846" customFormat="1" ht="10.199999999999999">
      <c r="A58" s="1052" t="s">
        <v>268</v>
      </c>
      <c r="B58" s="793" t="s">
        <v>250</v>
      </c>
      <c r="C58" s="794">
        <f t="shared" ref="C58:N58" si="188">C37-C45</f>
        <v>89.25</v>
      </c>
      <c r="D58" s="794">
        <f t="shared" si="188"/>
        <v>91.159999999999968</v>
      </c>
      <c r="E58" s="794">
        <f t="shared" si="188"/>
        <v>81.789999999999964</v>
      </c>
      <c r="F58" s="794">
        <f t="shared" si="188"/>
        <v>96.62</v>
      </c>
      <c r="G58" s="794">
        <f t="shared" si="188"/>
        <v>88.279999999999973</v>
      </c>
      <c r="H58" s="794">
        <f t="shared" si="188"/>
        <v>92.600000000000023</v>
      </c>
      <c r="I58" s="794">
        <f t="shared" si="188"/>
        <v>0</v>
      </c>
      <c r="J58" s="794">
        <f t="shared" si="188"/>
        <v>0</v>
      </c>
      <c r="K58" s="794">
        <f t="shared" si="188"/>
        <v>0</v>
      </c>
      <c r="L58" s="794">
        <f t="shared" si="188"/>
        <v>0</v>
      </c>
      <c r="M58" s="794">
        <f t="shared" si="188"/>
        <v>0</v>
      </c>
      <c r="N58" s="794">
        <f t="shared" si="188"/>
        <v>0</v>
      </c>
      <c r="O58" s="794">
        <f>C58+D58+E58</f>
        <v>262.19999999999993</v>
      </c>
      <c r="P58" s="794">
        <f>F58+G58+H58</f>
        <v>277.5</v>
      </c>
      <c r="Q58" s="794">
        <f>I58+J58+K58</f>
        <v>0</v>
      </c>
      <c r="R58" s="794">
        <f>L58+M58+N58</f>
        <v>0</v>
      </c>
      <c r="S58" s="794">
        <f t="shared" ref="S58" si="189">SUM(C58:N58)</f>
        <v>539.69999999999993</v>
      </c>
      <c r="T58" s="795">
        <f>T37-T45</f>
        <v>4.1515384615384576</v>
      </c>
    </row>
    <row r="59" spans="1:20" s="846" customFormat="1" ht="10.199999999999999">
      <c r="A59" s="1053"/>
      <c r="B59" s="793" t="s">
        <v>247</v>
      </c>
      <c r="C59" s="794">
        <f t="shared" ref="C59:T59" si="190">C41-C49</f>
        <v>2794</v>
      </c>
      <c r="D59" s="794">
        <f t="shared" si="190"/>
        <v>2618</v>
      </c>
      <c r="E59" s="794">
        <f t="shared" si="190"/>
        <v>2495</v>
      </c>
      <c r="F59" s="794">
        <f t="shared" si="190"/>
        <v>2700</v>
      </c>
      <c r="G59" s="794">
        <f t="shared" si="190"/>
        <v>2261</v>
      </c>
      <c r="H59" s="794">
        <f t="shared" si="190"/>
        <v>2439</v>
      </c>
      <c r="I59" s="794">
        <f t="shared" si="190"/>
        <v>0</v>
      </c>
      <c r="J59" s="794">
        <f t="shared" si="190"/>
        <v>0</v>
      </c>
      <c r="K59" s="794">
        <f t="shared" si="190"/>
        <v>0</v>
      </c>
      <c r="L59" s="794">
        <f t="shared" si="190"/>
        <v>0</v>
      </c>
      <c r="M59" s="794">
        <f t="shared" si="190"/>
        <v>0</v>
      </c>
      <c r="N59" s="794">
        <f t="shared" si="190"/>
        <v>0</v>
      </c>
      <c r="O59" s="794">
        <f t="shared" si="190"/>
        <v>7907</v>
      </c>
      <c r="P59" s="794">
        <f t="shared" si="190"/>
        <v>7400</v>
      </c>
      <c r="Q59" s="794">
        <f t="shared" si="190"/>
        <v>0</v>
      </c>
      <c r="R59" s="794">
        <f t="shared" si="190"/>
        <v>0</v>
      </c>
      <c r="S59" s="794">
        <f t="shared" si="190"/>
        <v>15307</v>
      </c>
      <c r="T59" s="795">
        <f t="shared" si="190"/>
        <v>117.74615384615379</v>
      </c>
    </row>
    <row r="60" spans="1:20" s="846" customFormat="1" ht="10.199999999999999">
      <c r="A60" s="1054"/>
      <c r="B60" s="793" t="s">
        <v>261</v>
      </c>
      <c r="C60" s="797">
        <f t="shared" ref="C60:S60" si="191">IFERROR(C59/C58,0)</f>
        <v>31.30532212885154</v>
      </c>
      <c r="D60" s="797">
        <f t="shared" si="191"/>
        <v>28.718736287845555</v>
      </c>
      <c r="E60" s="797">
        <f t="shared" si="191"/>
        <v>30.504951705587494</v>
      </c>
      <c r="F60" s="797">
        <f t="shared" si="191"/>
        <v>27.944524943075965</v>
      </c>
      <c r="G60" s="797">
        <f t="shared" si="191"/>
        <v>25.611690077027646</v>
      </c>
      <c r="H60" s="797">
        <f t="shared" si="191"/>
        <v>26.339092872570188</v>
      </c>
      <c r="I60" s="797">
        <f t="shared" si="191"/>
        <v>0</v>
      </c>
      <c r="J60" s="797">
        <f t="shared" si="191"/>
        <v>0</v>
      </c>
      <c r="K60" s="797">
        <f t="shared" si="191"/>
        <v>0</v>
      </c>
      <c r="L60" s="797">
        <f t="shared" si="191"/>
        <v>0</v>
      </c>
      <c r="M60" s="797">
        <f t="shared" si="191"/>
        <v>0</v>
      </c>
      <c r="N60" s="797">
        <f t="shared" si="191"/>
        <v>0</v>
      </c>
      <c r="O60" s="797">
        <f t="shared" si="191"/>
        <v>30.156369183829145</v>
      </c>
      <c r="P60" s="797">
        <f t="shared" si="191"/>
        <v>26.666666666666668</v>
      </c>
      <c r="Q60" s="797">
        <f t="shared" si="191"/>
        <v>0</v>
      </c>
      <c r="R60" s="797">
        <f t="shared" si="191"/>
        <v>0</v>
      </c>
      <c r="S60" s="797">
        <f t="shared" si="191"/>
        <v>28.362052992403189</v>
      </c>
      <c r="T60" s="798">
        <f>IFERROR(T59/T58,0)</f>
        <v>28.3620529924032</v>
      </c>
    </row>
    <row r="61" spans="1:20" ht="6" customHeight="1" thickBot="1">
      <c r="A61" s="784"/>
      <c r="B61" s="799"/>
      <c r="C61" s="799"/>
      <c r="D61" s="799"/>
      <c r="E61" s="799"/>
      <c r="F61" s="799"/>
      <c r="G61" s="799"/>
      <c r="H61" s="799"/>
      <c r="I61" s="799"/>
      <c r="J61" s="799"/>
      <c r="K61" s="799"/>
      <c r="L61" s="799"/>
      <c r="M61" s="799"/>
      <c r="N61" s="799"/>
      <c r="O61" s="799"/>
      <c r="P61" s="799"/>
      <c r="Q61" s="799"/>
      <c r="R61" s="799"/>
      <c r="S61" s="786"/>
      <c r="T61" s="785"/>
    </row>
    <row r="62" spans="1:20" s="840" customFormat="1">
      <c r="A62" s="1068" t="s">
        <v>389</v>
      </c>
      <c r="B62" s="800" t="s">
        <v>187</v>
      </c>
      <c r="C62" s="801">
        <f>'OpStatTotals(AllServices)'!C33</f>
        <v>4</v>
      </c>
      <c r="D62" s="801">
        <f>'OpStatTotals(AllServices)'!D33</f>
        <v>5</v>
      </c>
      <c r="E62" s="801">
        <f>'OpStatTotals(AllServices)'!E33</f>
        <v>4</v>
      </c>
      <c r="F62" s="801">
        <f>'OpStatTotals(AllServices)'!F33</f>
        <v>4</v>
      </c>
      <c r="G62" s="801">
        <f>'OpStatTotals(AllServices)'!G33</f>
        <v>5</v>
      </c>
      <c r="H62" s="801">
        <f>'OpStatTotals(AllServices)'!H33</f>
        <v>4</v>
      </c>
      <c r="I62" s="801">
        <f>'OpStatTotals(AllServices)'!I33</f>
        <v>0</v>
      </c>
      <c r="J62" s="801">
        <f>'OpStatTotals(AllServices)'!J33</f>
        <v>0</v>
      </c>
      <c r="K62" s="801">
        <f>'OpStatTotals(AllServices)'!K33</f>
        <v>0</v>
      </c>
      <c r="L62" s="802">
        <f>'OpStatTotals(AllServices)'!L33</f>
        <v>0</v>
      </c>
      <c r="M62" s="801">
        <f>'OpStatTotals(AllServices)'!M33</f>
        <v>0</v>
      </c>
      <c r="N62" s="801">
        <f>'OpStatTotals(AllServices)'!N33</f>
        <v>0</v>
      </c>
      <c r="O62" s="802">
        <f>C62+D62+E62</f>
        <v>13</v>
      </c>
      <c r="P62" s="802">
        <f>F62+G62+H62</f>
        <v>13</v>
      </c>
      <c r="Q62" s="802">
        <f>I62+J62+K62</f>
        <v>0</v>
      </c>
      <c r="R62" s="802">
        <f>L62+M62+N62</f>
        <v>0</v>
      </c>
      <c r="S62" s="803">
        <f>SUM(C62:N62)</f>
        <v>26</v>
      </c>
      <c r="T62" s="752"/>
    </row>
    <row r="63" spans="1:20" s="845" customFormat="1" ht="14.4" thickBot="1">
      <c r="A63" s="1069"/>
      <c r="B63" s="789" t="s">
        <v>244</v>
      </c>
      <c r="C63" s="762">
        <f>'3b-RM Report Data'!J110</f>
        <v>1</v>
      </c>
      <c r="D63" s="762">
        <f>'3b-RM Report Data'!Q110</f>
        <v>1</v>
      </c>
      <c r="E63" s="762">
        <f>'3b-RM Report Data'!X110</f>
        <v>1</v>
      </c>
      <c r="F63" s="762">
        <f>'3b-RM Report Data'!AE110</f>
        <v>1</v>
      </c>
      <c r="G63" s="762">
        <f>'3b-RM Report Data'!AL110</f>
        <v>1</v>
      </c>
      <c r="H63" s="762">
        <f>'3b-RM Report Data'!AS110</f>
        <v>1</v>
      </c>
      <c r="I63" s="762">
        <f>'3b-RM Report Data'!AZ110</f>
        <v>1</v>
      </c>
      <c r="J63" s="762">
        <f>'3b-RM Report Data'!BG110</f>
        <v>1</v>
      </c>
      <c r="K63" s="762">
        <f>'3b-RM Report Data'!BN110</f>
        <v>1</v>
      </c>
      <c r="L63" s="762">
        <f>'3b-RM Report Data'!BU110</f>
        <v>1</v>
      </c>
      <c r="M63" s="762">
        <f>'3b-RM Report Data'!CB110</f>
        <v>1</v>
      </c>
      <c r="N63" s="762">
        <f>'3b-RM Report Data'!CI110</f>
        <v>1</v>
      </c>
      <c r="O63" s="763">
        <f t="shared" ref="O63" si="192">MAX(C63,D63,E63)</f>
        <v>1</v>
      </c>
      <c r="P63" s="763">
        <f t="shared" ref="P63" si="193">MAX(F63,G63,H63)</f>
        <v>1</v>
      </c>
      <c r="Q63" s="763">
        <f t="shared" ref="Q63" si="194">MAX(I63,J63,K63)</f>
        <v>1</v>
      </c>
      <c r="R63" s="763">
        <f t="shared" ref="R63" si="195">MAX(L63,M63,N63)</f>
        <v>1</v>
      </c>
      <c r="S63" s="791">
        <f t="shared" ref="S63" si="196">MAX(C63:N63)</f>
        <v>1</v>
      </c>
      <c r="T63" s="792">
        <f>S63</f>
        <v>1</v>
      </c>
    </row>
    <row r="64" spans="1:20" s="840" customFormat="1">
      <c r="A64" s="1065" t="s">
        <v>248</v>
      </c>
      <c r="B64" s="765" t="s">
        <v>141</v>
      </c>
      <c r="C64" s="766">
        <f>'3b-RM Report Data'!J40</f>
        <v>48</v>
      </c>
      <c r="D64" s="766">
        <f>'3b-RM Report Data'!Q40</f>
        <v>61</v>
      </c>
      <c r="E64" s="766">
        <f>'3b-RM Report Data'!X40</f>
        <v>49</v>
      </c>
      <c r="F64" s="766">
        <f>'3b-RM Report Data'!AE40</f>
        <v>47</v>
      </c>
      <c r="G64" s="766">
        <f>'3b-RM Report Data'!AL40</f>
        <v>58</v>
      </c>
      <c r="H64" s="766">
        <f>'3b-RM Report Data'!AS40</f>
        <v>49</v>
      </c>
      <c r="I64" s="766">
        <f>'3b-RM Report Data'!AZ40</f>
        <v>0</v>
      </c>
      <c r="J64" s="766">
        <f>'3b-RM Report Data'!BG40</f>
        <v>0</v>
      </c>
      <c r="K64" s="766">
        <f>'3b-RM Report Data'!BN40</f>
        <v>0</v>
      </c>
      <c r="L64" s="766">
        <f>'3b-RM Report Data'!BU40</f>
        <v>0</v>
      </c>
      <c r="M64" s="766">
        <f>'3b-RM Report Data'!CB40</f>
        <v>0</v>
      </c>
      <c r="N64" s="766">
        <f>'3b-RM Report Data'!CI40</f>
        <v>0</v>
      </c>
      <c r="O64" s="767">
        <f t="shared" ref="O64" si="197">C64+D64+E64</f>
        <v>158</v>
      </c>
      <c r="P64" s="767">
        <f t="shared" ref="P64" si="198">F64+G64+H64</f>
        <v>154</v>
      </c>
      <c r="Q64" s="767">
        <f t="shared" ref="Q64" si="199">I64+J64+K64</f>
        <v>0</v>
      </c>
      <c r="R64" s="767">
        <f t="shared" ref="R64" si="200">L64+M64+N64</f>
        <v>0</v>
      </c>
      <c r="S64" s="768">
        <f t="shared" ref="S64:S66" si="201">SUM(C64:N64)</f>
        <v>312</v>
      </c>
      <c r="T64" s="769"/>
    </row>
    <row r="65" spans="1:20" s="840" customFormat="1" hidden="1">
      <c r="A65" s="1066"/>
      <c r="B65" s="804" t="s">
        <v>142</v>
      </c>
      <c r="C65" s="805"/>
      <c r="D65" s="805"/>
      <c r="E65" s="805"/>
      <c r="F65" s="805"/>
      <c r="G65" s="805"/>
      <c r="H65" s="805"/>
      <c r="I65" s="805"/>
      <c r="J65" s="805"/>
      <c r="K65" s="805"/>
      <c r="L65" s="805"/>
      <c r="M65" s="805"/>
      <c r="N65" s="805"/>
      <c r="O65" s="805"/>
      <c r="P65" s="805"/>
      <c r="Q65" s="805"/>
      <c r="R65" s="805"/>
      <c r="S65" s="806">
        <f t="shared" si="201"/>
        <v>0</v>
      </c>
      <c r="T65" s="752"/>
    </row>
    <row r="66" spans="1:20" s="840" customFormat="1" hidden="1">
      <c r="A66" s="1066"/>
      <c r="B66" s="804" t="s">
        <v>136</v>
      </c>
      <c r="C66" s="805"/>
      <c r="D66" s="805"/>
      <c r="E66" s="805"/>
      <c r="F66" s="805"/>
      <c r="G66" s="805"/>
      <c r="H66" s="805"/>
      <c r="I66" s="805"/>
      <c r="J66" s="805"/>
      <c r="K66" s="805"/>
      <c r="L66" s="805"/>
      <c r="M66" s="805"/>
      <c r="N66" s="805"/>
      <c r="O66" s="805"/>
      <c r="P66" s="805"/>
      <c r="Q66" s="805"/>
      <c r="R66" s="805"/>
      <c r="S66" s="806">
        <f t="shared" si="201"/>
        <v>0</v>
      </c>
      <c r="T66" s="752"/>
    </row>
    <row r="67" spans="1:20" s="840" customFormat="1" ht="14.4" thickBot="1">
      <c r="A67" s="1067"/>
      <c r="B67" s="773" t="s">
        <v>45</v>
      </c>
      <c r="C67" s="774">
        <f>SUM(C64:C66)</f>
        <v>48</v>
      </c>
      <c r="D67" s="774">
        <f t="shared" ref="D67" si="202">SUM(D64:D66)</f>
        <v>61</v>
      </c>
      <c r="E67" s="774">
        <f t="shared" ref="E67" si="203">SUM(E64:E66)</f>
        <v>49</v>
      </c>
      <c r="F67" s="774">
        <f t="shared" ref="F67" si="204">SUM(F64:F66)</f>
        <v>47</v>
      </c>
      <c r="G67" s="774">
        <f t="shared" ref="G67" si="205">SUM(G64:G66)</f>
        <v>58</v>
      </c>
      <c r="H67" s="774">
        <f t="shared" ref="H67" si="206">SUM(H64:H66)</f>
        <v>49</v>
      </c>
      <c r="I67" s="774">
        <f t="shared" ref="I67" si="207">SUM(I64:I66)</f>
        <v>0</v>
      </c>
      <c r="J67" s="774">
        <f t="shared" ref="J67" si="208">SUM(J64:J66)</f>
        <v>0</v>
      </c>
      <c r="K67" s="774">
        <f t="shared" ref="K67" si="209">SUM(K64:K66)</f>
        <v>0</v>
      </c>
      <c r="L67" s="774">
        <f t="shared" ref="L67" si="210">SUM(L64:L66)</f>
        <v>0</v>
      </c>
      <c r="M67" s="774">
        <f t="shared" ref="M67" si="211">SUM(M64:M66)</f>
        <v>0</v>
      </c>
      <c r="N67" s="774">
        <f t="shared" ref="N67" si="212">SUM(N64:N66)</f>
        <v>0</v>
      </c>
      <c r="O67" s="774">
        <f t="shared" ref="O67" si="213">SUM(O64:O66)</f>
        <v>158</v>
      </c>
      <c r="P67" s="774">
        <f t="shared" ref="P67" si="214">SUM(P64:P66)</f>
        <v>154</v>
      </c>
      <c r="Q67" s="774">
        <f t="shared" ref="Q67" si="215">SUM(Q64:Q66)</f>
        <v>0</v>
      </c>
      <c r="R67" s="774">
        <f t="shared" ref="R67" si="216">SUM(R64:R66)</f>
        <v>0</v>
      </c>
      <c r="S67" s="776">
        <f t="shared" ref="S67" si="217">SUM(S64:S66)</f>
        <v>312</v>
      </c>
      <c r="T67" s="792">
        <f>IFERROR(S67/$S$62,0)</f>
        <v>12</v>
      </c>
    </row>
    <row r="68" spans="1:20" s="840" customFormat="1">
      <c r="A68" s="1065" t="s">
        <v>245</v>
      </c>
      <c r="B68" s="765" t="s">
        <v>141</v>
      </c>
      <c r="C68" s="766">
        <f>'3b-RM Report Data'!J38</f>
        <v>957</v>
      </c>
      <c r="D68" s="766">
        <f>'3b-RM Report Data'!Q38</f>
        <v>1316</v>
      </c>
      <c r="E68" s="766">
        <f>'3b-RM Report Data'!X38</f>
        <v>1012</v>
      </c>
      <c r="F68" s="766">
        <f>'3b-RM Report Data'!AE38</f>
        <v>882</v>
      </c>
      <c r="G68" s="766">
        <f>'3b-RM Report Data'!AL38</f>
        <v>1114</v>
      </c>
      <c r="H68" s="766">
        <f>'3b-RM Report Data'!AS38</f>
        <v>873</v>
      </c>
      <c r="I68" s="766">
        <f>'3b-RM Report Data'!AZ38</f>
        <v>0</v>
      </c>
      <c r="J68" s="766">
        <f>'3b-RM Report Data'!BG38</f>
        <v>0</v>
      </c>
      <c r="K68" s="766">
        <f>'3b-RM Report Data'!BN38</f>
        <v>0</v>
      </c>
      <c r="L68" s="766">
        <f>'3b-RM Report Data'!BU38</f>
        <v>0</v>
      </c>
      <c r="M68" s="766">
        <f>'3b-RM Report Data'!CB38</f>
        <v>0</v>
      </c>
      <c r="N68" s="766">
        <f>'3b-RM Report Data'!CI38</f>
        <v>0</v>
      </c>
      <c r="O68" s="767">
        <f t="shared" ref="O68" si="218">C68+D68+E68</f>
        <v>3285</v>
      </c>
      <c r="P68" s="767">
        <f t="shared" ref="P68" si="219">F68+G68+H68</f>
        <v>2869</v>
      </c>
      <c r="Q68" s="767">
        <f t="shared" ref="Q68" si="220">I68+J68+K68</f>
        <v>0</v>
      </c>
      <c r="R68" s="767">
        <f t="shared" ref="R68" si="221">L68+M68+N68</f>
        <v>0</v>
      </c>
      <c r="S68" s="768">
        <f t="shared" ref="S68" si="222">SUM(C68:N68)</f>
        <v>6154</v>
      </c>
      <c r="T68" s="752"/>
    </row>
    <row r="69" spans="1:20" s="840" customFormat="1" hidden="1">
      <c r="A69" s="1066"/>
      <c r="B69" s="804" t="s">
        <v>142</v>
      </c>
      <c r="C69" s="805"/>
      <c r="D69" s="805"/>
      <c r="E69" s="805"/>
      <c r="F69" s="805"/>
      <c r="G69" s="805"/>
      <c r="H69" s="805"/>
      <c r="I69" s="805"/>
      <c r="J69" s="805"/>
      <c r="K69" s="805"/>
      <c r="L69" s="805"/>
      <c r="M69" s="805"/>
      <c r="N69" s="805"/>
      <c r="O69" s="805"/>
      <c r="P69" s="805"/>
      <c r="Q69" s="805"/>
      <c r="R69" s="805"/>
      <c r="S69" s="806">
        <f t="shared" ref="S69:S70" si="223">SUM(C69:N69)</f>
        <v>0</v>
      </c>
      <c r="T69" s="752"/>
    </row>
    <row r="70" spans="1:20" s="840" customFormat="1" hidden="1">
      <c r="A70" s="1066"/>
      <c r="B70" s="804" t="s">
        <v>136</v>
      </c>
      <c r="C70" s="805"/>
      <c r="D70" s="805"/>
      <c r="E70" s="805"/>
      <c r="F70" s="805"/>
      <c r="G70" s="805"/>
      <c r="H70" s="805"/>
      <c r="I70" s="805"/>
      <c r="J70" s="805"/>
      <c r="K70" s="805"/>
      <c r="L70" s="805"/>
      <c r="M70" s="805"/>
      <c r="N70" s="805"/>
      <c r="O70" s="805"/>
      <c r="P70" s="805"/>
      <c r="Q70" s="805"/>
      <c r="R70" s="805"/>
      <c r="S70" s="806">
        <f t="shared" si="223"/>
        <v>0</v>
      </c>
      <c r="T70" s="752"/>
    </row>
    <row r="71" spans="1:20" s="840" customFormat="1" ht="14.4" thickBot="1">
      <c r="A71" s="1067"/>
      <c r="B71" s="773" t="s">
        <v>46</v>
      </c>
      <c r="C71" s="774">
        <f>SUM(C68:C70)</f>
        <v>957</v>
      </c>
      <c r="D71" s="774">
        <f t="shared" ref="D71" si="224">SUM(D68:D70)</f>
        <v>1316</v>
      </c>
      <c r="E71" s="774">
        <f t="shared" ref="E71" si="225">SUM(E68:E70)</f>
        <v>1012</v>
      </c>
      <c r="F71" s="774">
        <f t="shared" ref="F71" si="226">SUM(F68:F70)</f>
        <v>882</v>
      </c>
      <c r="G71" s="774">
        <f t="shared" ref="G71" si="227">SUM(G68:G70)</f>
        <v>1114</v>
      </c>
      <c r="H71" s="774">
        <f t="shared" ref="H71" si="228">SUM(H68:H70)</f>
        <v>873</v>
      </c>
      <c r="I71" s="774">
        <f t="shared" ref="I71" si="229">SUM(I68:I70)</f>
        <v>0</v>
      </c>
      <c r="J71" s="774">
        <f t="shared" ref="J71" si="230">SUM(J68:J70)</f>
        <v>0</v>
      </c>
      <c r="K71" s="774">
        <f t="shared" ref="K71" si="231">SUM(K68:K70)</f>
        <v>0</v>
      </c>
      <c r="L71" s="774">
        <f t="shared" ref="L71" si="232">SUM(L68:L70)</f>
        <v>0</v>
      </c>
      <c r="M71" s="774">
        <f t="shared" ref="M71" si="233">SUM(M68:M70)</f>
        <v>0</v>
      </c>
      <c r="N71" s="774">
        <f t="shared" ref="N71" si="234">SUM(N68:N70)</f>
        <v>0</v>
      </c>
      <c r="O71" s="774">
        <f t="shared" ref="O71" si="235">SUM(O68:O70)</f>
        <v>3285</v>
      </c>
      <c r="P71" s="774">
        <f t="shared" ref="P71" si="236">SUM(P68:P70)</f>
        <v>2869</v>
      </c>
      <c r="Q71" s="774">
        <f t="shared" ref="Q71" si="237">SUM(Q68:Q70)</f>
        <v>0</v>
      </c>
      <c r="R71" s="774">
        <f t="shared" ref="R71" si="238">SUM(R68:R70)</f>
        <v>0</v>
      </c>
      <c r="S71" s="776">
        <f t="shared" ref="S71" si="239">SUM(S68:S70)</f>
        <v>6154</v>
      </c>
      <c r="T71" s="792">
        <f>IFERROR(S71/$S$62,0)</f>
        <v>236.69230769230768</v>
      </c>
    </row>
    <row r="72" spans="1:20" s="840" customFormat="1">
      <c r="A72" s="1065" t="s">
        <v>249</v>
      </c>
      <c r="B72" s="765" t="s">
        <v>141</v>
      </c>
      <c r="C72" s="766">
        <f>'3b-RM Report Data'!J39</f>
        <v>41</v>
      </c>
      <c r="D72" s="766">
        <f>'3b-RM Report Data'!Q39</f>
        <v>52</v>
      </c>
      <c r="E72" s="766">
        <f>'3b-RM Report Data'!X39</f>
        <v>41</v>
      </c>
      <c r="F72" s="766">
        <f>'3b-RM Report Data'!AE39</f>
        <v>41</v>
      </c>
      <c r="G72" s="766">
        <f>'3b-RM Report Data'!AL39</f>
        <v>52</v>
      </c>
      <c r="H72" s="766">
        <f>'3b-RM Report Data'!AS39</f>
        <v>41</v>
      </c>
      <c r="I72" s="766">
        <f>'3b-RM Report Data'!AZ39</f>
        <v>0</v>
      </c>
      <c r="J72" s="766">
        <f>'3b-RM Report Data'!BG39</f>
        <v>0</v>
      </c>
      <c r="K72" s="766">
        <f>'3b-RM Report Data'!BN39</f>
        <v>0</v>
      </c>
      <c r="L72" s="766">
        <f>'3b-RM Report Data'!BU39</f>
        <v>0</v>
      </c>
      <c r="M72" s="766">
        <f>'3b-RM Report Data'!CB39</f>
        <v>0</v>
      </c>
      <c r="N72" s="766">
        <f>'3b-RM Report Data'!CI39</f>
        <v>0</v>
      </c>
      <c r="O72" s="767">
        <f t="shared" ref="O72" si="240">C72+D72+E72</f>
        <v>134</v>
      </c>
      <c r="P72" s="767">
        <f t="shared" ref="P72" si="241">F72+G72+H72</f>
        <v>134</v>
      </c>
      <c r="Q72" s="767">
        <f t="shared" ref="Q72" si="242">I72+J72+K72</f>
        <v>0</v>
      </c>
      <c r="R72" s="767">
        <f t="shared" ref="R72" si="243">L72+M72+N72</f>
        <v>0</v>
      </c>
      <c r="S72" s="768">
        <f t="shared" ref="S72" si="244">SUM(C72:N72)</f>
        <v>268</v>
      </c>
      <c r="T72" s="752"/>
    </row>
    <row r="73" spans="1:20" s="840" customFormat="1" hidden="1">
      <c r="A73" s="1066"/>
      <c r="B73" s="804" t="s">
        <v>142</v>
      </c>
      <c r="C73" s="805"/>
      <c r="D73" s="805"/>
      <c r="E73" s="805"/>
      <c r="F73" s="805"/>
      <c r="G73" s="805"/>
      <c r="H73" s="805"/>
      <c r="I73" s="805"/>
      <c r="J73" s="805"/>
      <c r="K73" s="805"/>
      <c r="L73" s="805"/>
      <c r="M73" s="805"/>
      <c r="N73" s="805"/>
      <c r="O73" s="805"/>
      <c r="P73" s="805"/>
      <c r="Q73" s="805"/>
      <c r="R73" s="805"/>
      <c r="S73" s="806">
        <f t="shared" ref="S73:S74" si="245">SUM(C73:N73)</f>
        <v>0</v>
      </c>
      <c r="T73" s="752"/>
    </row>
    <row r="74" spans="1:20" s="840" customFormat="1" hidden="1">
      <c r="A74" s="1066"/>
      <c r="B74" s="804" t="s">
        <v>136</v>
      </c>
      <c r="C74" s="805"/>
      <c r="D74" s="805"/>
      <c r="E74" s="805"/>
      <c r="F74" s="805"/>
      <c r="G74" s="805"/>
      <c r="H74" s="805"/>
      <c r="I74" s="805"/>
      <c r="J74" s="805"/>
      <c r="K74" s="805"/>
      <c r="L74" s="805"/>
      <c r="M74" s="805"/>
      <c r="N74" s="805"/>
      <c r="O74" s="805"/>
      <c r="P74" s="805"/>
      <c r="Q74" s="805"/>
      <c r="R74" s="805"/>
      <c r="S74" s="806">
        <f t="shared" si="245"/>
        <v>0</v>
      </c>
      <c r="T74" s="752"/>
    </row>
    <row r="75" spans="1:20" s="840" customFormat="1" ht="14.4" thickBot="1">
      <c r="A75" s="1067"/>
      <c r="B75" s="773" t="s">
        <v>109</v>
      </c>
      <c r="C75" s="774">
        <f>SUM(C72:C74)</f>
        <v>41</v>
      </c>
      <c r="D75" s="774">
        <f t="shared" ref="D75" si="246">SUM(D72:D74)</f>
        <v>52</v>
      </c>
      <c r="E75" s="774">
        <f t="shared" ref="E75" si="247">SUM(E72:E74)</f>
        <v>41</v>
      </c>
      <c r="F75" s="774">
        <f t="shared" ref="F75" si="248">SUM(F72:F74)</f>
        <v>41</v>
      </c>
      <c r="G75" s="774">
        <f t="shared" ref="G75" si="249">SUM(G72:G74)</f>
        <v>52</v>
      </c>
      <c r="H75" s="774">
        <f t="shared" ref="H75" si="250">SUM(H72:H74)</f>
        <v>41</v>
      </c>
      <c r="I75" s="774">
        <f t="shared" ref="I75" si="251">SUM(I72:I74)</f>
        <v>0</v>
      </c>
      <c r="J75" s="774">
        <f t="shared" ref="J75" si="252">SUM(J72:J74)</f>
        <v>0</v>
      </c>
      <c r="K75" s="774">
        <f t="shared" ref="K75" si="253">SUM(K72:K74)</f>
        <v>0</v>
      </c>
      <c r="L75" s="774">
        <f t="shared" ref="L75" si="254">SUM(L72:L74)</f>
        <v>0</v>
      </c>
      <c r="M75" s="774">
        <f t="shared" ref="M75" si="255">SUM(M72:M74)</f>
        <v>0</v>
      </c>
      <c r="N75" s="774">
        <f t="shared" ref="N75" si="256">SUM(N72:N74)</f>
        <v>0</v>
      </c>
      <c r="O75" s="774">
        <f t="shared" ref="O75" si="257">SUM(O72:O74)</f>
        <v>134</v>
      </c>
      <c r="P75" s="774">
        <f t="shared" ref="P75" si="258">SUM(P72:P74)</f>
        <v>134</v>
      </c>
      <c r="Q75" s="774">
        <f t="shared" ref="Q75" si="259">SUM(Q72:Q74)</f>
        <v>0</v>
      </c>
      <c r="R75" s="774">
        <f t="shared" ref="R75" si="260">SUM(R72:R74)</f>
        <v>0</v>
      </c>
      <c r="S75" s="776">
        <f t="shared" ref="S75" si="261">SUM(S72:S74)</f>
        <v>268</v>
      </c>
      <c r="T75" s="792">
        <f>IFERROR(S75/$S$62,0)</f>
        <v>10.307692307692308</v>
      </c>
    </row>
    <row r="76" spans="1:20" s="840" customFormat="1">
      <c r="A76" s="1065" t="s">
        <v>246</v>
      </c>
      <c r="B76" s="765" t="s">
        <v>141</v>
      </c>
      <c r="C76" s="766">
        <f>'3b-RM Report Data'!J37</f>
        <v>675</v>
      </c>
      <c r="D76" s="766">
        <f>'3b-RM Report Data'!Q37</f>
        <v>939</v>
      </c>
      <c r="E76" s="766">
        <f>'3b-RM Report Data'!X37</f>
        <v>756</v>
      </c>
      <c r="F76" s="766">
        <f>'3b-RM Report Data'!AE37</f>
        <v>684</v>
      </c>
      <c r="G76" s="766">
        <f>'3b-RM Report Data'!AL37</f>
        <v>912</v>
      </c>
      <c r="H76" s="766">
        <f>'3b-RM Report Data'!AS37</f>
        <v>678</v>
      </c>
      <c r="I76" s="766">
        <f>'3b-RM Report Data'!AZ37</f>
        <v>0</v>
      </c>
      <c r="J76" s="766">
        <f>'3b-RM Report Data'!BG37</f>
        <v>0</v>
      </c>
      <c r="K76" s="766">
        <f>'3b-RM Report Data'!BN37</f>
        <v>0</v>
      </c>
      <c r="L76" s="766">
        <f>'3b-RM Report Data'!BU37</f>
        <v>0</v>
      </c>
      <c r="M76" s="766">
        <f>'3b-RM Report Data'!CB37</f>
        <v>0</v>
      </c>
      <c r="N76" s="766">
        <f>'3b-RM Report Data'!CI37</f>
        <v>0</v>
      </c>
      <c r="O76" s="767">
        <f t="shared" ref="O76" si="262">C76+D76+E76</f>
        <v>2370</v>
      </c>
      <c r="P76" s="767">
        <f t="shared" ref="P76" si="263">F76+G76+H76</f>
        <v>2274</v>
      </c>
      <c r="Q76" s="767">
        <f t="shared" ref="Q76" si="264">I76+J76+K76</f>
        <v>0</v>
      </c>
      <c r="R76" s="767">
        <f t="shared" ref="R76" si="265">L76+M76+N76</f>
        <v>0</v>
      </c>
      <c r="S76" s="768">
        <f t="shared" ref="S76" si="266">SUM(C76:N76)</f>
        <v>4644</v>
      </c>
      <c r="T76" s="752"/>
    </row>
    <row r="77" spans="1:20" s="840" customFormat="1" hidden="1">
      <c r="A77" s="1066"/>
      <c r="B77" s="804" t="s">
        <v>142</v>
      </c>
      <c r="C77" s="805"/>
      <c r="D77" s="805"/>
      <c r="E77" s="805"/>
      <c r="F77" s="805"/>
      <c r="G77" s="805"/>
      <c r="H77" s="805"/>
      <c r="I77" s="805"/>
      <c r="J77" s="805"/>
      <c r="K77" s="805"/>
      <c r="L77" s="805"/>
      <c r="M77" s="805"/>
      <c r="N77" s="805"/>
      <c r="O77" s="805"/>
      <c r="P77" s="805"/>
      <c r="Q77" s="805"/>
      <c r="R77" s="805"/>
      <c r="S77" s="806">
        <f t="shared" ref="S77:S78" si="267">SUM(C77:N77)</f>
        <v>0</v>
      </c>
      <c r="T77" s="752"/>
    </row>
    <row r="78" spans="1:20" s="840" customFormat="1" hidden="1">
      <c r="A78" s="1066"/>
      <c r="B78" s="804" t="s">
        <v>136</v>
      </c>
      <c r="C78" s="805"/>
      <c r="D78" s="805"/>
      <c r="E78" s="805"/>
      <c r="F78" s="805"/>
      <c r="G78" s="805"/>
      <c r="H78" s="805"/>
      <c r="I78" s="805"/>
      <c r="J78" s="805"/>
      <c r="K78" s="805"/>
      <c r="L78" s="805"/>
      <c r="M78" s="805"/>
      <c r="N78" s="805"/>
      <c r="O78" s="805"/>
      <c r="P78" s="805"/>
      <c r="Q78" s="805"/>
      <c r="R78" s="805"/>
      <c r="S78" s="806">
        <f t="shared" si="267"/>
        <v>0</v>
      </c>
      <c r="T78" s="752"/>
    </row>
    <row r="79" spans="1:20" s="840" customFormat="1" ht="14.4" thickBot="1">
      <c r="A79" s="1067"/>
      <c r="B79" s="773" t="s">
        <v>47</v>
      </c>
      <c r="C79" s="774">
        <f>SUM(C76:C78)</f>
        <v>675</v>
      </c>
      <c r="D79" s="774">
        <f t="shared" ref="D79" si="268">SUM(D76:D78)</f>
        <v>939</v>
      </c>
      <c r="E79" s="774">
        <f t="shared" ref="E79" si="269">SUM(E76:E78)</f>
        <v>756</v>
      </c>
      <c r="F79" s="774">
        <f t="shared" ref="F79" si="270">SUM(F76:F78)</f>
        <v>684</v>
      </c>
      <c r="G79" s="774">
        <f t="shared" ref="G79" si="271">SUM(G76:G78)</f>
        <v>912</v>
      </c>
      <c r="H79" s="774">
        <f t="shared" ref="H79" si="272">SUM(H76:H78)</f>
        <v>678</v>
      </c>
      <c r="I79" s="774">
        <f t="shared" ref="I79" si="273">SUM(I76:I78)</f>
        <v>0</v>
      </c>
      <c r="J79" s="774">
        <f t="shared" ref="J79" si="274">SUM(J76:J78)</f>
        <v>0</v>
      </c>
      <c r="K79" s="774">
        <f t="shared" ref="K79" si="275">SUM(K76:K78)</f>
        <v>0</v>
      </c>
      <c r="L79" s="774">
        <f t="shared" ref="L79" si="276">SUM(L76:L78)</f>
        <v>0</v>
      </c>
      <c r="M79" s="774">
        <f t="shared" ref="M79" si="277">SUM(M76:M78)</f>
        <v>0</v>
      </c>
      <c r="N79" s="774">
        <f t="shared" ref="N79" si="278">SUM(N76:N78)</f>
        <v>0</v>
      </c>
      <c r="O79" s="774">
        <f t="shared" ref="O79" si="279">SUM(O76:O78)</f>
        <v>2370</v>
      </c>
      <c r="P79" s="774">
        <f t="shared" ref="P79" si="280">SUM(P76:P78)</f>
        <v>2274</v>
      </c>
      <c r="Q79" s="774">
        <f t="shared" ref="Q79" si="281">SUM(Q76:Q78)</f>
        <v>0</v>
      </c>
      <c r="R79" s="774">
        <f t="shared" ref="R79" si="282">SUM(R76:R78)</f>
        <v>0</v>
      </c>
      <c r="S79" s="776">
        <f t="shared" ref="S79" si="283">SUM(S76:S78)</f>
        <v>4644</v>
      </c>
      <c r="T79" s="792">
        <f>IFERROR(S79/$S$62,0)</f>
        <v>178.61538461538461</v>
      </c>
    </row>
    <row r="80" spans="1:20" s="840" customFormat="1">
      <c r="A80" s="1065" t="s">
        <v>251</v>
      </c>
      <c r="B80" s="765" t="s">
        <v>141</v>
      </c>
      <c r="C80" s="766">
        <f>'3b-RM Report Data'!J54</f>
        <v>1724</v>
      </c>
      <c r="D80" s="766">
        <f>'3b-RM Report Data'!Q54</f>
        <v>2272</v>
      </c>
      <c r="E80" s="766">
        <f>'3b-RM Report Data'!X54</f>
        <v>1956</v>
      </c>
      <c r="F80" s="766">
        <f>'3b-RM Report Data'!AE54</f>
        <v>1506</v>
      </c>
      <c r="G80" s="766">
        <f>'3b-RM Report Data'!AL54</f>
        <v>2201</v>
      </c>
      <c r="H80" s="766">
        <f>'3b-RM Report Data'!AS54</f>
        <v>1231</v>
      </c>
      <c r="I80" s="766">
        <f>'3b-RM Report Data'!AZ54</f>
        <v>0</v>
      </c>
      <c r="J80" s="766">
        <f>'3b-RM Report Data'!BG54</f>
        <v>0</v>
      </c>
      <c r="K80" s="766">
        <f>'3b-RM Report Data'!BN54</f>
        <v>0</v>
      </c>
      <c r="L80" s="766">
        <f>'3b-RM Report Data'!BU54</f>
        <v>0</v>
      </c>
      <c r="M80" s="766">
        <f>'3b-RM Report Data'!CB54</f>
        <v>0</v>
      </c>
      <c r="N80" s="766">
        <f>'3b-RM Report Data'!CI54</f>
        <v>0</v>
      </c>
      <c r="O80" s="767">
        <f t="shared" ref="O80" si="284">C80+D80+E80</f>
        <v>5952</v>
      </c>
      <c r="P80" s="767">
        <f t="shared" ref="P80" si="285">F80+G80+H80</f>
        <v>4938</v>
      </c>
      <c r="Q80" s="767">
        <f t="shared" ref="Q80" si="286">I80+J80+K80</f>
        <v>0</v>
      </c>
      <c r="R80" s="767">
        <f t="shared" ref="R80" si="287">L80+M80+N80</f>
        <v>0</v>
      </c>
      <c r="S80" s="768">
        <f t="shared" ref="S80" si="288">SUM(C80:N80)</f>
        <v>10890</v>
      </c>
      <c r="T80" s="752"/>
    </row>
    <row r="81" spans="1:20" s="840" customFormat="1" hidden="1">
      <c r="A81" s="1066"/>
      <c r="B81" s="804" t="s">
        <v>142</v>
      </c>
      <c r="C81" s="805"/>
      <c r="D81" s="805"/>
      <c r="E81" s="805"/>
      <c r="F81" s="805"/>
      <c r="G81" s="805"/>
      <c r="H81" s="805"/>
      <c r="I81" s="805"/>
      <c r="J81" s="805"/>
      <c r="K81" s="805"/>
      <c r="L81" s="805"/>
      <c r="M81" s="805"/>
      <c r="N81" s="805"/>
      <c r="O81" s="805"/>
      <c r="P81" s="805"/>
      <c r="Q81" s="805"/>
      <c r="R81" s="805"/>
      <c r="S81" s="806">
        <f t="shared" ref="S81:S82" si="289">SUM(C81:N81)</f>
        <v>0</v>
      </c>
      <c r="T81" s="752"/>
    </row>
    <row r="82" spans="1:20" s="840" customFormat="1" hidden="1">
      <c r="A82" s="1066"/>
      <c r="B82" s="804" t="s">
        <v>136</v>
      </c>
      <c r="C82" s="805"/>
      <c r="D82" s="805"/>
      <c r="E82" s="805"/>
      <c r="F82" s="805"/>
      <c r="G82" s="805"/>
      <c r="H82" s="805"/>
      <c r="I82" s="805"/>
      <c r="J82" s="805"/>
      <c r="K82" s="805"/>
      <c r="L82" s="805"/>
      <c r="M82" s="805"/>
      <c r="N82" s="805"/>
      <c r="O82" s="805"/>
      <c r="P82" s="805"/>
      <c r="Q82" s="805"/>
      <c r="R82" s="805"/>
      <c r="S82" s="806">
        <f t="shared" si="289"/>
        <v>0</v>
      </c>
      <c r="T82" s="752"/>
    </row>
    <row r="83" spans="1:20" s="840" customFormat="1" ht="14.4" thickBot="1">
      <c r="A83" s="1067"/>
      <c r="B83" s="773" t="s">
        <v>241</v>
      </c>
      <c r="C83" s="774">
        <f>SUM(C80:C82)</f>
        <v>1724</v>
      </c>
      <c r="D83" s="774">
        <f t="shared" ref="D83" si="290">SUM(D80:D82)</f>
        <v>2272</v>
      </c>
      <c r="E83" s="774">
        <f t="shared" ref="E83" si="291">SUM(E80:E82)</f>
        <v>1956</v>
      </c>
      <c r="F83" s="774">
        <f t="shared" ref="F83" si="292">SUM(F80:F82)</f>
        <v>1506</v>
      </c>
      <c r="G83" s="774">
        <f t="shared" ref="G83" si="293">SUM(G80:G82)</f>
        <v>2201</v>
      </c>
      <c r="H83" s="774">
        <f t="shared" ref="H83" si="294">SUM(H80:H82)</f>
        <v>1231</v>
      </c>
      <c r="I83" s="774">
        <f t="shared" ref="I83" si="295">SUM(I80:I82)</f>
        <v>0</v>
      </c>
      <c r="J83" s="774">
        <f t="shared" ref="J83" si="296">SUM(J80:J82)</f>
        <v>0</v>
      </c>
      <c r="K83" s="774">
        <f t="shared" ref="K83" si="297">SUM(K80:K82)</f>
        <v>0</v>
      </c>
      <c r="L83" s="774">
        <f t="shared" ref="L83" si="298">SUM(L80:L82)</f>
        <v>0</v>
      </c>
      <c r="M83" s="774">
        <f t="shared" ref="M83" si="299">SUM(M80:M82)</f>
        <v>0</v>
      </c>
      <c r="N83" s="774">
        <f t="shared" ref="N83" si="300">SUM(N80:N82)</f>
        <v>0</v>
      </c>
      <c r="O83" s="774">
        <f t="shared" ref="O83" si="301">SUM(O80:O82)</f>
        <v>5952</v>
      </c>
      <c r="P83" s="774">
        <f t="shared" ref="P83" si="302">SUM(P80:P82)</f>
        <v>4938</v>
      </c>
      <c r="Q83" s="774">
        <f t="shared" ref="Q83" si="303">SUM(Q80:Q82)</f>
        <v>0</v>
      </c>
      <c r="R83" s="774">
        <f t="shared" ref="R83" si="304">SUM(R80:R82)</f>
        <v>0</v>
      </c>
      <c r="S83" s="776">
        <f t="shared" ref="S83" si="305">SUM(S80:S82)</f>
        <v>10890</v>
      </c>
      <c r="T83" s="792">
        <f>IFERROR(S83/$S$62,0)</f>
        <v>418.84615384615387</v>
      </c>
    </row>
    <row r="84" spans="1:20" s="840" customFormat="1">
      <c r="A84" s="1065" t="s">
        <v>260</v>
      </c>
      <c r="B84" s="765" t="s">
        <v>141</v>
      </c>
      <c r="C84" s="766">
        <f>'3b-RM Report Data'!J55</f>
        <v>150</v>
      </c>
      <c r="D84" s="766">
        <f>'3b-RM Report Data'!Q55</f>
        <v>156</v>
      </c>
      <c r="E84" s="766">
        <f>'3b-RM Report Data'!X55</f>
        <v>146</v>
      </c>
      <c r="F84" s="766">
        <f>'3b-RM Report Data'!AE55</f>
        <v>117</v>
      </c>
      <c r="G84" s="766">
        <f>'3b-RM Report Data'!AL55</f>
        <v>155</v>
      </c>
      <c r="H84" s="766">
        <f>'3b-RM Report Data'!AS55</f>
        <v>99</v>
      </c>
      <c r="I84" s="766">
        <f>'3b-RM Report Data'!AZ55</f>
        <v>0</v>
      </c>
      <c r="J84" s="766">
        <f>'3b-RM Report Data'!BG55</f>
        <v>0</v>
      </c>
      <c r="K84" s="766">
        <f>'3b-RM Report Data'!BN55</f>
        <v>0</v>
      </c>
      <c r="L84" s="766">
        <f>'3b-RM Report Data'!BU55</f>
        <v>0</v>
      </c>
      <c r="M84" s="766">
        <f>'3b-RM Report Data'!CB55</f>
        <v>0</v>
      </c>
      <c r="N84" s="766">
        <f>'3b-RM Report Data'!CI55</f>
        <v>0</v>
      </c>
      <c r="O84" s="767">
        <f t="shared" ref="O84" si="306">C84+D84+E84</f>
        <v>452</v>
      </c>
      <c r="P84" s="767">
        <f t="shared" ref="P84" si="307">F84+G84+H84</f>
        <v>371</v>
      </c>
      <c r="Q84" s="767">
        <f t="shared" ref="Q84" si="308">I84+J84+K84</f>
        <v>0</v>
      </c>
      <c r="R84" s="767">
        <f t="shared" ref="R84" si="309">L84+M84+N84</f>
        <v>0</v>
      </c>
      <c r="S84" s="768">
        <f t="shared" ref="S84" si="310">SUM(C84:N84)</f>
        <v>823</v>
      </c>
      <c r="T84" s="752"/>
    </row>
    <row r="85" spans="1:20" s="840" customFormat="1" hidden="1">
      <c r="A85" s="1066"/>
      <c r="B85" s="804" t="s">
        <v>142</v>
      </c>
      <c r="C85" s="805"/>
      <c r="D85" s="805"/>
      <c r="E85" s="805"/>
      <c r="F85" s="805"/>
      <c r="G85" s="805"/>
      <c r="H85" s="805"/>
      <c r="I85" s="805"/>
      <c r="J85" s="805"/>
      <c r="K85" s="805"/>
      <c r="L85" s="805"/>
      <c r="M85" s="805"/>
      <c r="N85" s="805"/>
      <c r="O85" s="805"/>
      <c r="P85" s="805"/>
      <c r="Q85" s="805"/>
      <c r="R85" s="805"/>
      <c r="S85" s="806">
        <f t="shared" ref="S85:S86" si="311">SUM(C85:N85)</f>
        <v>0</v>
      </c>
      <c r="T85" s="752"/>
    </row>
    <row r="86" spans="1:20" s="840" customFormat="1" hidden="1">
      <c r="A86" s="1066"/>
      <c r="B86" s="804" t="s">
        <v>136</v>
      </c>
      <c r="C86" s="805"/>
      <c r="D86" s="805"/>
      <c r="E86" s="805"/>
      <c r="F86" s="805"/>
      <c r="G86" s="805"/>
      <c r="H86" s="805"/>
      <c r="I86" s="805"/>
      <c r="J86" s="805"/>
      <c r="K86" s="805"/>
      <c r="L86" s="805"/>
      <c r="M86" s="805"/>
      <c r="N86" s="805"/>
      <c r="O86" s="805"/>
      <c r="P86" s="805"/>
      <c r="Q86" s="805"/>
      <c r="R86" s="805"/>
      <c r="S86" s="806">
        <f t="shared" si="311"/>
        <v>0</v>
      </c>
      <c r="T86" s="752"/>
    </row>
    <row r="87" spans="1:20" s="840" customFormat="1" ht="14.4" thickBot="1">
      <c r="A87" s="1067"/>
      <c r="B87" s="773" t="s">
        <v>267</v>
      </c>
      <c r="C87" s="774">
        <f>SUM(C84:C86)</f>
        <v>150</v>
      </c>
      <c r="D87" s="774">
        <f t="shared" ref="D87" si="312">SUM(D84:D86)</f>
        <v>156</v>
      </c>
      <c r="E87" s="774">
        <f t="shared" ref="E87" si="313">SUM(E84:E86)</f>
        <v>146</v>
      </c>
      <c r="F87" s="774">
        <f t="shared" ref="F87" si="314">SUM(F84:F86)</f>
        <v>117</v>
      </c>
      <c r="G87" s="774">
        <f t="shared" ref="G87" si="315">SUM(G84:G86)</f>
        <v>155</v>
      </c>
      <c r="H87" s="774">
        <f t="shared" ref="H87" si="316">SUM(H84:H86)</f>
        <v>99</v>
      </c>
      <c r="I87" s="774">
        <f t="shared" ref="I87" si="317">SUM(I84:I86)</f>
        <v>0</v>
      </c>
      <c r="J87" s="774">
        <f t="shared" ref="J87" si="318">SUM(J84:J86)</f>
        <v>0</v>
      </c>
      <c r="K87" s="774">
        <f t="shared" ref="K87" si="319">SUM(K84:K86)</f>
        <v>0</v>
      </c>
      <c r="L87" s="774">
        <f t="shared" ref="L87" si="320">SUM(L84:L86)</f>
        <v>0</v>
      </c>
      <c r="M87" s="774">
        <f t="shared" ref="M87" si="321">SUM(M84:M86)</f>
        <v>0</v>
      </c>
      <c r="N87" s="774">
        <f t="shared" ref="N87" si="322">SUM(N84:N86)</f>
        <v>0</v>
      </c>
      <c r="O87" s="774">
        <f t="shared" ref="O87" si="323">SUM(O84:O86)</f>
        <v>452</v>
      </c>
      <c r="P87" s="774">
        <f t="shared" ref="P87" si="324">SUM(P84:P86)</f>
        <v>371</v>
      </c>
      <c r="Q87" s="774">
        <f t="shared" ref="Q87" si="325">SUM(Q84:Q86)</f>
        <v>0</v>
      </c>
      <c r="R87" s="774">
        <f t="shared" ref="R87" si="326">SUM(R84:R86)</f>
        <v>0</v>
      </c>
      <c r="S87" s="776">
        <f t="shared" ref="S87" si="327">SUM(S84:S86)</f>
        <v>823</v>
      </c>
      <c r="T87" s="792">
        <f>IFERROR(S87/$S$62,0)</f>
        <v>31.653846153846153</v>
      </c>
    </row>
    <row r="88" spans="1:20" s="840" customFormat="1">
      <c r="A88" s="1052" t="s">
        <v>268</v>
      </c>
      <c r="B88" s="793" t="s">
        <v>250</v>
      </c>
      <c r="C88" s="794">
        <f t="shared" ref="C88:N88" si="328">C67-C75</f>
        <v>7</v>
      </c>
      <c r="D88" s="794">
        <f t="shared" si="328"/>
        <v>9</v>
      </c>
      <c r="E88" s="794">
        <f t="shared" si="328"/>
        <v>8</v>
      </c>
      <c r="F88" s="794">
        <f t="shared" si="328"/>
        <v>6</v>
      </c>
      <c r="G88" s="794">
        <f t="shared" si="328"/>
        <v>6</v>
      </c>
      <c r="H88" s="794">
        <f t="shared" si="328"/>
        <v>8</v>
      </c>
      <c r="I88" s="794">
        <f t="shared" si="328"/>
        <v>0</v>
      </c>
      <c r="J88" s="794">
        <f t="shared" si="328"/>
        <v>0</v>
      </c>
      <c r="K88" s="794">
        <f t="shared" si="328"/>
        <v>0</v>
      </c>
      <c r="L88" s="794">
        <f t="shared" si="328"/>
        <v>0</v>
      </c>
      <c r="M88" s="794">
        <f t="shared" si="328"/>
        <v>0</v>
      </c>
      <c r="N88" s="794">
        <f t="shared" si="328"/>
        <v>0</v>
      </c>
      <c r="O88" s="794">
        <f>C88+D88+E88</f>
        <v>24</v>
      </c>
      <c r="P88" s="794">
        <f>F88+G88+H88</f>
        <v>20</v>
      </c>
      <c r="Q88" s="794">
        <f>I88+J88+K88</f>
        <v>0</v>
      </c>
      <c r="R88" s="794">
        <f>L88+M88+N88</f>
        <v>0</v>
      </c>
      <c r="S88" s="794">
        <f t="shared" ref="S88" si="329">SUM(C88:N88)</f>
        <v>44</v>
      </c>
      <c r="T88" s="807">
        <f>T67-T75</f>
        <v>1.6923076923076916</v>
      </c>
    </row>
    <row r="89" spans="1:20" s="840" customFormat="1">
      <c r="A89" s="1053"/>
      <c r="B89" s="793" t="s">
        <v>247</v>
      </c>
      <c r="C89" s="794">
        <f t="shared" ref="C89:T89" si="330">C71-C79</f>
        <v>282</v>
      </c>
      <c r="D89" s="794">
        <f t="shared" si="330"/>
        <v>377</v>
      </c>
      <c r="E89" s="794">
        <f t="shared" si="330"/>
        <v>256</v>
      </c>
      <c r="F89" s="794">
        <f t="shared" si="330"/>
        <v>198</v>
      </c>
      <c r="G89" s="794">
        <f t="shared" si="330"/>
        <v>202</v>
      </c>
      <c r="H89" s="794">
        <f t="shared" si="330"/>
        <v>195</v>
      </c>
      <c r="I89" s="794">
        <f t="shared" si="330"/>
        <v>0</v>
      </c>
      <c r="J89" s="794">
        <f t="shared" si="330"/>
        <v>0</v>
      </c>
      <c r="K89" s="794">
        <f t="shared" si="330"/>
        <v>0</v>
      </c>
      <c r="L89" s="794">
        <f t="shared" si="330"/>
        <v>0</v>
      </c>
      <c r="M89" s="794">
        <f t="shared" si="330"/>
        <v>0</v>
      </c>
      <c r="N89" s="794">
        <f t="shared" si="330"/>
        <v>0</v>
      </c>
      <c r="O89" s="794">
        <f t="shared" si="330"/>
        <v>915</v>
      </c>
      <c r="P89" s="794">
        <f t="shared" si="330"/>
        <v>595</v>
      </c>
      <c r="Q89" s="794">
        <f t="shared" si="330"/>
        <v>0</v>
      </c>
      <c r="R89" s="794">
        <f t="shared" si="330"/>
        <v>0</v>
      </c>
      <c r="S89" s="794">
        <f t="shared" si="330"/>
        <v>1510</v>
      </c>
      <c r="T89" s="807">
        <f t="shared" si="330"/>
        <v>58.076923076923066</v>
      </c>
    </row>
    <row r="90" spans="1:20" s="840" customFormat="1">
      <c r="A90" s="1054"/>
      <c r="B90" s="793" t="s">
        <v>261</v>
      </c>
      <c r="C90" s="808">
        <f t="shared" ref="C90:S90" si="331">IFERROR(C89/C88,0)</f>
        <v>40.285714285714285</v>
      </c>
      <c r="D90" s="808">
        <f t="shared" si="331"/>
        <v>41.888888888888886</v>
      </c>
      <c r="E90" s="808">
        <f t="shared" si="331"/>
        <v>32</v>
      </c>
      <c r="F90" s="808">
        <f t="shared" si="331"/>
        <v>33</v>
      </c>
      <c r="G90" s="808">
        <f t="shared" si="331"/>
        <v>33.666666666666664</v>
      </c>
      <c r="H90" s="808">
        <f t="shared" si="331"/>
        <v>24.375</v>
      </c>
      <c r="I90" s="808">
        <f t="shared" si="331"/>
        <v>0</v>
      </c>
      <c r="J90" s="808">
        <f t="shared" si="331"/>
        <v>0</v>
      </c>
      <c r="K90" s="808">
        <f t="shared" si="331"/>
        <v>0</v>
      </c>
      <c r="L90" s="808">
        <f t="shared" si="331"/>
        <v>0</v>
      </c>
      <c r="M90" s="808">
        <f t="shared" si="331"/>
        <v>0</v>
      </c>
      <c r="N90" s="808">
        <f t="shared" si="331"/>
        <v>0</v>
      </c>
      <c r="O90" s="808">
        <f t="shared" si="331"/>
        <v>38.125</v>
      </c>
      <c r="P90" s="808">
        <f t="shared" si="331"/>
        <v>29.75</v>
      </c>
      <c r="Q90" s="808">
        <f t="shared" si="331"/>
        <v>0</v>
      </c>
      <c r="R90" s="808">
        <f t="shared" si="331"/>
        <v>0</v>
      </c>
      <c r="S90" s="808">
        <f t="shared" si="331"/>
        <v>34.31818181818182</v>
      </c>
      <c r="T90" s="809">
        <f>IFERROR(T89/T88,0)</f>
        <v>34.318181818181827</v>
      </c>
    </row>
    <row r="91" spans="1:20" ht="6" customHeight="1" thickBot="1">
      <c r="A91" s="810"/>
      <c r="B91" s="811"/>
      <c r="C91" s="811"/>
      <c r="D91" s="811"/>
      <c r="E91" s="811"/>
      <c r="F91" s="811"/>
      <c r="G91" s="811"/>
      <c r="H91" s="811"/>
      <c r="I91" s="811"/>
      <c r="J91" s="811"/>
      <c r="K91" s="811"/>
      <c r="L91" s="811"/>
      <c r="M91" s="811"/>
      <c r="N91" s="811"/>
      <c r="O91" s="811"/>
      <c r="P91" s="811"/>
      <c r="Q91" s="811"/>
      <c r="R91" s="811"/>
      <c r="S91" s="785"/>
      <c r="T91" s="785"/>
    </row>
    <row r="92" spans="1:20" s="840" customFormat="1" ht="12.75" hidden="1" customHeight="1">
      <c r="A92" s="1061" t="s">
        <v>229</v>
      </c>
      <c r="B92" s="812" t="s">
        <v>187</v>
      </c>
      <c r="C92" s="813">
        <v>0</v>
      </c>
      <c r="D92" s="813">
        <v>0</v>
      </c>
      <c r="E92" s="813">
        <v>0</v>
      </c>
      <c r="F92" s="813">
        <v>0</v>
      </c>
      <c r="G92" s="813">
        <v>0</v>
      </c>
      <c r="H92" s="813">
        <v>0</v>
      </c>
      <c r="I92" s="813">
        <v>0</v>
      </c>
      <c r="J92" s="813">
        <v>0</v>
      </c>
      <c r="K92" s="813">
        <v>0</v>
      </c>
      <c r="L92" s="813">
        <v>0</v>
      </c>
      <c r="M92" s="813">
        <v>0</v>
      </c>
      <c r="N92" s="813">
        <v>0</v>
      </c>
      <c r="O92" s="813">
        <f>C92+D92+E92</f>
        <v>0</v>
      </c>
      <c r="P92" s="813">
        <f>F92+G92+H92</f>
        <v>0</v>
      </c>
      <c r="Q92" s="813">
        <f>I92+J92+K92</f>
        <v>0</v>
      </c>
      <c r="R92" s="813">
        <f>L92+M92+N92</f>
        <v>0</v>
      </c>
      <c r="S92" s="814">
        <f>SUM(C92:N92)</f>
        <v>0</v>
      </c>
      <c r="T92" s="752"/>
    </row>
    <row r="93" spans="1:20" s="845" customFormat="1" ht="12.75" hidden="1" customHeight="1">
      <c r="A93" s="1062"/>
      <c r="B93" s="815" t="s">
        <v>244</v>
      </c>
      <c r="C93" s="816"/>
      <c r="D93" s="816"/>
      <c r="E93" s="816"/>
      <c r="F93" s="816"/>
      <c r="G93" s="816"/>
      <c r="H93" s="816"/>
      <c r="I93" s="816"/>
      <c r="J93" s="816"/>
      <c r="K93" s="816"/>
      <c r="L93" s="816"/>
      <c r="M93" s="816"/>
      <c r="N93" s="816"/>
      <c r="O93" s="816">
        <f>C93+D93+E93</f>
        <v>0</v>
      </c>
      <c r="P93" s="816">
        <f>F93+G93+H93</f>
        <v>0</v>
      </c>
      <c r="Q93" s="816">
        <f>I93+J93+K93</f>
        <v>0</v>
      </c>
      <c r="R93" s="816">
        <f>L93+M93+N93</f>
        <v>0</v>
      </c>
      <c r="S93" s="817">
        <f>(SUM(C93:N93))/12</f>
        <v>0</v>
      </c>
      <c r="T93" s="792">
        <f>S93</f>
        <v>0</v>
      </c>
    </row>
    <row r="94" spans="1:20" s="845" customFormat="1" ht="13.5" hidden="1" customHeight="1" thickBot="1">
      <c r="A94" s="1063"/>
      <c r="B94" s="818" t="s">
        <v>225</v>
      </c>
      <c r="C94" s="819"/>
      <c r="D94" s="819"/>
      <c r="E94" s="819"/>
      <c r="F94" s="819"/>
      <c r="G94" s="819"/>
      <c r="H94" s="819"/>
      <c r="I94" s="819"/>
      <c r="J94" s="819"/>
      <c r="K94" s="819"/>
      <c r="L94" s="819"/>
      <c r="M94" s="819"/>
      <c r="N94" s="819"/>
      <c r="O94" s="819">
        <f>C94+D94+E94</f>
        <v>0</v>
      </c>
      <c r="P94" s="819">
        <f>F94+G94+H94</f>
        <v>0</v>
      </c>
      <c r="Q94" s="819">
        <f>I94+J94+K94</f>
        <v>0</v>
      </c>
      <c r="R94" s="819">
        <f>L94+M94+N94</f>
        <v>0</v>
      </c>
      <c r="S94" s="820">
        <f>(SUM(C94:N94))/12</f>
        <v>0</v>
      </c>
      <c r="T94" s="821">
        <f>S94</f>
        <v>0</v>
      </c>
    </row>
    <row r="95" spans="1:20" s="845" customFormat="1" hidden="1">
      <c r="A95" s="1059" t="s">
        <v>248</v>
      </c>
      <c r="B95" s="822" t="s">
        <v>141</v>
      </c>
      <c r="C95" s="805"/>
      <c r="D95" s="805"/>
      <c r="E95" s="805"/>
      <c r="F95" s="805"/>
      <c r="G95" s="805"/>
      <c r="H95" s="805"/>
      <c r="I95" s="805"/>
      <c r="J95" s="805"/>
      <c r="K95" s="805"/>
      <c r="L95" s="805"/>
      <c r="M95" s="805"/>
      <c r="N95" s="805"/>
      <c r="O95" s="805"/>
      <c r="P95" s="805"/>
      <c r="Q95" s="805"/>
      <c r="R95" s="805"/>
      <c r="S95" s="823">
        <f t="shared" ref="S95:S97" si="332">SUM(C95:N95)</f>
        <v>0</v>
      </c>
      <c r="T95" s="769"/>
    </row>
    <row r="96" spans="1:20" s="845" customFormat="1" hidden="1">
      <c r="A96" s="1060"/>
      <c r="B96" s="770" t="s">
        <v>142</v>
      </c>
      <c r="C96" s="805"/>
      <c r="D96" s="805"/>
      <c r="E96" s="805"/>
      <c r="F96" s="805"/>
      <c r="G96" s="805"/>
      <c r="H96" s="805"/>
      <c r="I96" s="805"/>
      <c r="J96" s="805"/>
      <c r="K96" s="805"/>
      <c r="L96" s="805"/>
      <c r="M96" s="805"/>
      <c r="N96" s="805"/>
      <c r="O96" s="805"/>
      <c r="P96" s="805"/>
      <c r="Q96" s="805"/>
      <c r="R96" s="805"/>
      <c r="S96" s="817">
        <f t="shared" si="332"/>
        <v>0</v>
      </c>
      <c r="T96" s="752"/>
    </row>
    <row r="97" spans="1:20" s="840" customFormat="1" ht="12.75" hidden="1" customHeight="1">
      <c r="A97" s="1038" t="s">
        <v>302</v>
      </c>
      <c r="B97" s="770" t="s">
        <v>136</v>
      </c>
      <c r="C97" s="805"/>
      <c r="D97" s="805"/>
      <c r="E97" s="805"/>
      <c r="F97" s="805"/>
      <c r="G97" s="805"/>
      <c r="H97" s="805"/>
      <c r="I97" s="805"/>
      <c r="J97" s="805"/>
      <c r="K97" s="805"/>
      <c r="L97" s="805"/>
      <c r="M97" s="805"/>
      <c r="N97" s="805"/>
      <c r="O97" s="805"/>
      <c r="P97" s="805"/>
      <c r="Q97" s="805"/>
      <c r="R97" s="805"/>
      <c r="S97" s="817">
        <f t="shared" si="332"/>
        <v>0</v>
      </c>
      <c r="T97" s="752"/>
    </row>
    <row r="98" spans="1:20" s="840" customFormat="1" ht="14.4" hidden="1" thickBot="1">
      <c r="A98" s="1058"/>
      <c r="B98" s="824" t="s">
        <v>45</v>
      </c>
      <c r="C98" s="825">
        <f>SUM(C95:C97)</f>
        <v>0</v>
      </c>
      <c r="D98" s="825">
        <f t="shared" ref="D98" si="333">SUM(D95:D97)</f>
        <v>0</v>
      </c>
      <c r="E98" s="825">
        <f t="shared" ref="E98" si="334">SUM(E95:E97)</f>
        <v>0</v>
      </c>
      <c r="F98" s="825">
        <f t="shared" ref="F98" si="335">SUM(F95:F97)</f>
        <v>0</v>
      </c>
      <c r="G98" s="825">
        <f t="shared" ref="G98" si="336">SUM(G95:G97)</f>
        <v>0</v>
      </c>
      <c r="H98" s="825">
        <f t="shared" ref="H98" si="337">SUM(H95:H97)</f>
        <v>0</v>
      </c>
      <c r="I98" s="825">
        <f t="shared" ref="I98" si="338">SUM(I95:I97)</f>
        <v>0</v>
      </c>
      <c r="J98" s="825">
        <f t="shared" ref="J98" si="339">SUM(J95:J97)</f>
        <v>0</v>
      </c>
      <c r="K98" s="825">
        <f t="shared" ref="K98" si="340">SUM(K95:K97)</f>
        <v>0</v>
      </c>
      <c r="L98" s="825">
        <f t="shared" ref="L98" si="341">SUM(L95:L97)</f>
        <v>0</v>
      </c>
      <c r="M98" s="825">
        <f t="shared" ref="M98" si="342">SUM(M95:M97)</f>
        <v>0</v>
      </c>
      <c r="N98" s="825">
        <f t="shared" ref="N98" si="343">SUM(N95:N97)</f>
        <v>0</v>
      </c>
      <c r="O98" s="825">
        <f t="shared" ref="O98" si="344">SUM(O95:O97)</f>
        <v>0</v>
      </c>
      <c r="P98" s="825">
        <f t="shared" ref="P98" si="345">SUM(P95:P97)</f>
        <v>0</v>
      </c>
      <c r="Q98" s="825">
        <f t="shared" ref="Q98" si="346">SUM(Q95:Q97)</f>
        <v>0</v>
      </c>
      <c r="R98" s="825">
        <f t="shared" ref="R98" si="347">SUM(R95:R97)</f>
        <v>0</v>
      </c>
      <c r="S98" s="825">
        <f t="shared" ref="S98" si="348">SUM(S95:S97)</f>
        <v>0</v>
      </c>
      <c r="T98" s="792" t="e">
        <f>S98/$S$92</f>
        <v>#DIV/0!</v>
      </c>
    </row>
    <row r="99" spans="1:20" s="840" customFormat="1" hidden="1">
      <c r="A99" s="1059" t="s">
        <v>245</v>
      </c>
      <c r="B99" s="770" t="s">
        <v>141</v>
      </c>
      <c r="C99" s="805"/>
      <c r="D99" s="805"/>
      <c r="E99" s="805"/>
      <c r="F99" s="805"/>
      <c r="G99" s="805"/>
      <c r="H99" s="805"/>
      <c r="I99" s="805"/>
      <c r="J99" s="805"/>
      <c r="K99" s="805"/>
      <c r="L99" s="805"/>
      <c r="M99" s="805"/>
      <c r="N99" s="805"/>
      <c r="O99" s="805"/>
      <c r="P99" s="805"/>
      <c r="Q99" s="805"/>
      <c r="R99" s="805"/>
      <c r="S99" s="817">
        <f t="shared" ref="S99:S101" si="349">SUM(C99:N99)</f>
        <v>0</v>
      </c>
      <c r="T99" s="752"/>
    </row>
    <row r="100" spans="1:20" s="840" customFormat="1" hidden="1">
      <c r="A100" s="1060"/>
      <c r="B100" s="770" t="s">
        <v>142</v>
      </c>
      <c r="C100" s="805"/>
      <c r="D100" s="805"/>
      <c r="E100" s="805"/>
      <c r="F100" s="805"/>
      <c r="G100" s="805"/>
      <c r="H100" s="805"/>
      <c r="I100" s="805"/>
      <c r="J100" s="805"/>
      <c r="K100" s="805"/>
      <c r="L100" s="805"/>
      <c r="M100" s="805"/>
      <c r="N100" s="805"/>
      <c r="O100" s="805"/>
      <c r="P100" s="805"/>
      <c r="Q100" s="805"/>
      <c r="R100" s="805"/>
      <c r="S100" s="817">
        <f t="shared" si="349"/>
        <v>0</v>
      </c>
      <c r="T100" s="752"/>
    </row>
    <row r="101" spans="1:20" s="840" customFormat="1" hidden="1">
      <c r="A101" s="1060"/>
      <c r="B101" s="770" t="s">
        <v>136</v>
      </c>
      <c r="C101" s="805"/>
      <c r="D101" s="805"/>
      <c r="E101" s="805"/>
      <c r="F101" s="805"/>
      <c r="G101" s="805"/>
      <c r="H101" s="805"/>
      <c r="I101" s="805"/>
      <c r="J101" s="805"/>
      <c r="K101" s="805"/>
      <c r="L101" s="805"/>
      <c r="M101" s="805"/>
      <c r="N101" s="805"/>
      <c r="O101" s="805"/>
      <c r="P101" s="805"/>
      <c r="Q101" s="805"/>
      <c r="R101" s="805"/>
      <c r="S101" s="817">
        <f t="shared" si="349"/>
        <v>0</v>
      </c>
      <c r="T101" s="752"/>
    </row>
    <row r="102" spans="1:20" s="840" customFormat="1" ht="14.4" hidden="1" thickBot="1">
      <c r="A102" s="1064"/>
      <c r="B102" s="824" t="s">
        <v>46</v>
      </c>
      <c r="C102" s="825">
        <f>SUM(C99:C101)</f>
        <v>0</v>
      </c>
      <c r="D102" s="825">
        <f t="shared" ref="D102" si="350">SUM(D99:D101)</f>
        <v>0</v>
      </c>
      <c r="E102" s="825">
        <f t="shared" ref="E102" si="351">SUM(E99:E101)</f>
        <v>0</v>
      </c>
      <c r="F102" s="825">
        <f t="shared" ref="F102" si="352">SUM(F99:F101)</f>
        <v>0</v>
      </c>
      <c r="G102" s="825">
        <f t="shared" ref="G102" si="353">SUM(G99:G101)</f>
        <v>0</v>
      </c>
      <c r="H102" s="825">
        <f t="shared" ref="H102" si="354">SUM(H99:H101)</f>
        <v>0</v>
      </c>
      <c r="I102" s="825">
        <f t="shared" ref="I102" si="355">SUM(I99:I101)</f>
        <v>0</v>
      </c>
      <c r="J102" s="825">
        <f t="shared" ref="J102" si="356">SUM(J99:J101)</f>
        <v>0</v>
      </c>
      <c r="K102" s="825">
        <f t="shared" ref="K102" si="357">SUM(K99:K101)</f>
        <v>0</v>
      </c>
      <c r="L102" s="825">
        <f t="shared" ref="L102" si="358">SUM(L99:L101)</f>
        <v>0</v>
      </c>
      <c r="M102" s="825">
        <f t="shared" ref="M102" si="359">SUM(M99:M101)</f>
        <v>0</v>
      </c>
      <c r="N102" s="825">
        <f t="shared" ref="N102" si="360">SUM(N99:N101)</f>
        <v>0</v>
      </c>
      <c r="O102" s="825">
        <f t="shared" ref="O102" si="361">SUM(O99:O101)</f>
        <v>0</v>
      </c>
      <c r="P102" s="825">
        <f t="shared" ref="P102" si="362">SUM(P99:P101)</f>
        <v>0</v>
      </c>
      <c r="Q102" s="825">
        <f t="shared" ref="Q102" si="363">SUM(Q99:Q101)</f>
        <v>0</v>
      </c>
      <c r="R102" s="825">
        <f t="shared" ref="R102" si="364">SUM(R99:R101)</f>
        <v>0</v>
      </c>
      <c r="S102" s="825">
        <f t="shared" ref="S102" si="365">SUM(S99:S101)</f>
        <v>0</v>
      </c>
      <c r="T102" s="792" t="e">
        <f>S102/$S$92</f>
        <v>#DIV/0!</v>
      </c>
    </row>
    <row r="103" spans="1:20" s="840" customFormat="1" hidden="1">
      <c r="A103" s="1059" t="s">
        <v>249</v>
      </c>
      <c r="B103" s="770" t="s">
        <v>141</v>
      </c>
      <c r="C103" s="805"/>
      <c r="D103" s="805"/>
      <c r="E103" s="805"/>
      <c r="F103" s="805"/>
      <c r="G103" s="805"/>
      <c r="H103" s="805"/>
      <c r="I103" s="805"/>
      <c r="J103" s="805"/>
      <c r="K103" s="805"/>
      <c r="L103" s="805"/>
      <c r="M103" s="805"/>
      <c r="N103" s="805"/>
      <c r="O103" s="805"/>
      <c r="P103" s="805"/>
      <c r="Q103" s="805"/>
      <c r="R103" s="805"/>
      <c r="S103" s="817">
        <f t="shared" ref="S103:S105" si="366">SUM(C103:N103)</f>
        <v>0</v>
      </c>
      <c r="T103" s="752"/>
    </row>
    <row r="104" spans="1:20" s="840" customFormat="1" hidden="1">
      <c r="A104" s="1060"/>
      <c r="B104" s="770" t="s">
        <v>142</v>
      </c>
      <c r="C104" s="805"/>
      <c r="D104" s="805"/>
      <c r="E104" s="805"/>
      <c r="F104" s="805"/>
      <c r="G104" s="805"/>
      <c r="H104" s="805"/>
      <c r="I104" s="805"/>
      <c r="J104" s="805"/>
      <c r="K104" s="805"/>
      <c r="L104" s="805"/>
      <c r="M104" s="805"/>
      <c r="N104" s="805"/>
      <c r="O104" s="805"/>
      <c r="P104" s="805"/>
      <c r="Q104" s="805"/>
      <c r="R104" s="805"/>
      <c r="S104" s="817">
        <f t="shared" si="366"/>
        <v>0</v>
      </c>
      <c r="T104" s="752"/>
    </row>
    <row r="105" spans="1:20" s="840" customFormat="1" ht="12.75" hidden="1" customHeight="1">
      <c r="A105" s="1038" t="s">
        <v>302</v>
      </c>
      <c r="B105" s="770" t="s">
        <v>136</v>
      </c>
      <c r="C105" s="805"/>
      <c r="D105" s="805"/>
      <c r="E105" s="805"/>
      <c r="F105" s="805"/>
      <c r="G105" s="805"/>
      <c r="H105" s="805"/>
      <c r="I105" s="805"/>
      <c r="J105" s="805"/>
      <c r="K105" s="805"/>
      <c r="L105" s="805"/>
      <c r="M105" s="805"/>
      <c r="N105" s="805"/>
      <c r="O105" s="805"/>
      <c r="P105" s="805"/>
      <c r="Q105" s="805"/>
      <c r="R105" s="805"/>
      <c r="S105" s="817">
        <f t="shared" si="366"/>
        <v>0</v>
      </c>
      <c r="T105" s="752"/>
    </row>
    <row r="106" spans="1:20" s="840" customFormat="1" ht="14.4" hidden="1" thickBot="1">
      <c r="A106" s="1058"/>
      <c r="B106" s="826" t="s">
        <v>109</v>
      </c>
      <c r="C106" s="827">
        <f>SUM(C103:C105)</f>
        <v>0</v>
      </c>
      <c r="D106" s="827">
        <f t="shared" ref="D106" si="367">SUM(D103:D105)</f>
        <v>0</v>
      </c>
      <c r="E106" s="827">
        <f t="shared" ref="E106" si="368">SUM(E103:E105)</f>
        <v>0</v>
      </c>
      <c r="F106" s="827">
        <f t="shared" ref="F106" si="369">SUM(F103:F105)</f>
        <v>0</v>
      </c>
      <c r="G106" s="827">
        <f t="shared" ref="G106" si="370">SUM(G103:G105)</f>
        <v>0</v>
      </c>
      <c r="H106" s="827">
        <f t="shared" ref="H106" si="371">SUM(H103:H105)</f>
        <v>0</v>
      </c>
      <c r="I106" s="827">
        <f t="shared" ref="I106" si="372">SUM(I103:I105)</f>
        <v>0</v>
      </c>
      <c r="J106" s="827">
        <f t="shared" ref="J106" si="373">SUM(J103:J105)</f>
        <v>0</v>
      </c>
      <c r="K106" s="827">
        <f t="shared" ref="K106" si="374">SUM(K103:K105)</f>
        <v>0</v>
      </c>
      <c r="L106" s="827">
        <f t="shared" ref="L106" si="375">SUM(L103:L105)</f>
        <v>0</v>
      </c>
      <c r="M106" s="827">
        <f t="shared" ref="M106" si="376">SUM(M103:M105)</f>
        <v>0</v>
      </c>
      <c r="N106" s="827">
        <f t="shared" ref="N106" si="377">SUM(N103:N105)</f>
        <v>0</v>
      </c>
      <c r="O106" s="827">
        <f t="shared" ref="O106" si="378">SUM(O103:O105)</f>
        <v>0</v>
      </c>
      <c r="P106" s="827">
        <f t="shared" ref="P106" si="379">SUM(P103:P105)</f>
        <v>0</v>
      </c>
      <c r="Q106" s="827">
        <f t="shared" ref="Q106" si="380">SUM(Q103:Q105)</f>
        <v>0</v>
      </c>
      <c r="R106" s="827">
        <f t="shared" ref="R106" si="381">SUM(R103:R105)</f>
        <v>0</v>
      </c>
      <c r="S106" s="827">
        <f t="shared" ref="S106" si="382">SUM(S103:S105)</f>
        <v>0</v>
      </c>
      <c r="T106" s="792" t="e">
        <f>S106/$S$92</f>
        <v>#DIV/0!</v>
      </c>
    </row>
    <row r="107" spans="1:20" s="840" customFormat="1" hidden="1">
      <c r="A107" s="1059" t="s">
        <v>246</v>
      </c>
      <c r="B107" s="770" t="s">
        <v>141</v>
      </c>
      <c r="C107" s="805"/>
      <c r="D107" s="805"/>
      <c r="E107" s="805"/>
      <c r="F107" s="805"/>
      <c r="G107" s="805"/>
      <c r="H107" s="805"/>
      <c r="I107" s="805"/>
      <c r="J107" s="805"/>
      <c r="K107" s="805"/>
      <c r="L107" s="805"/>
      <c r="M107" s="805"/>
      <c r="N107" s="805"/>
      <c r="O107" s="805"/>
      <c r="P107" s="805"/>
      <c r="Q107" s="805"/>
      <c r="R107" s="805"/>
      <c r="S107" s="817">
        <f t="shared" ref="S107:S109" si="383">SUM(C107:N107)</f>
        <v>0</v>
      </c>
      <c r="T107" s="752"/>
    </row>
    <row r="108" spans="1:20" s="840" customFormat="1" hidden="1">
      <c r="A108" s="1060"/>
      <c r="B108" s="770" t="s">
        <v>142</v>
      </c>
      <c r="C108" s="805"/>
      <c r="D108" s="805"/>
      <c r="E108" s="805"/>
      <c r="F108" s="805"/>
      <c r="G108" s="805"/>
      <c r="H108" s="805"/>
      <c r="I108" s="805"/>
      <c r="J108" s="805"/>
      <c r="K108" s="805"/>
      <c r="L108" s="805"/>
      <c r="M108" s="805"/>
      <c r="N108" s="805"/>
      <c r="O108" s="805"/>
      <c r="P108" s="805"/>
      <c r="Q108" s="805"/>
      <c r="R108" s="805"/>
      <c r="S108" s="817">
        <f t="shared" si="383"/>
        <v>0</v>
      </c>
      <c r="T108" s="752"/>
    </row>
    <row r="109" spans="1:20" s="840" customFormat="1" ht="12.75" hidden="1" customHeight="1">
      <c r="A109" s="1038" t="s">
        <v>302</v>
      </c>
      <c r="B109" s="770" t="s">
        <v>136</v>
      </c>
      <c r="C109" s="805"/>
      <c r="D109" s="805"/>
      <c r="E109" s="805"/>
      <c r="F109" s="805"/>
      <c r="G109" s="805"/>
      <c r="H109" s="805"/>
      <c r="I109" s="805"/>
      <c r="J109" s="805"/>
      <c r="K109" s="805"/>
      <c r="L109" s="805"/>
      <c r="M109" s="805"/>
      <c r="N109" s="805"/>
      <c r="O109" s="805"/>
      <c r="P109" s="805"/>
      <c r="Q109" s="805"/>
      <c r="R109" s="805"/>
      <c r="S109" s="817">
        <f t="shared" si="383"/>
        <v>0</v>
      </c>
      <c r="T109" s="752"/>
    </row>
    <row r="110" spans="1:20" s="840" customFormat="1" ht="14.4" hidden="1" thickBot="1">
      <c r="A110" s="1058"/>
      <c r="B110" s="826" t="s">
        <v>47</v>
      </c>
      <c r="C110" s="827">
        <f>SUM(C107:C109)</f>
        <v>0</v>
      </c>
      <c r="D110" s="827">
        <f t="shared" ref="D110" si="384">SUM(D107:D109)</f>
        <v>0</v>
      </c>
      <c r="E110" s="827">
        <f t="shared" ref="E110" si="385">SUM(E107:E109)</f>
        <v>0</v>
      </c>
      <c r="F110" s="827">
        <f t="shared" ref="F110" si="386">SUM(F107:F109)</f>
        <v>0</v>
      </c>
      <c r="G110" s="827">
        <f t="shared" ref="G110" si="387">SUM(G107:G109)</f>
        <v>0</v>
      </c>
      <c r="H110" s="827">
        <f t="shared" ref="H110" si="388">SUM(H107:H109)</f>
        <v>0</v>
      </c>
      <c r="I110" s="827">
        <f t="shared" ref="I110" si="389">SUM(I107:I109)</f>
        <v>0</v>
      </c>
      <c r="J110" s="827">
        <f t="shared" ref="J110" si="390">SUM(J107:J109)</f>
        <v>0</v>
      </c>
      <c r="K110" s="827">
        <f t="shared" ref="K110" si="391">SUM(K107:K109)</f>
        <v>0</v>
      </c>
      <c r="L110" s="827">
        <f t="shared" ref="L110" si="392">SUM(L107:L109)</f>
        <v>0</v>
      </c>
      <c r="M110" s="827">
        <f t="shared" ref="M110" si="393">SUM(M107:M109)</f>
        <v>0</v>
      </c>
      <c r="N110" s="827">
        <f t="shared" ref="N110" si="394">SUM(N107:N109)</f>
        <v>0</v>
      </c>
      <c r="O110" s="827">
        <f t="shared" ref="O110" si="395">SUM(O107:O109)</f>
        <v>0</v>
      </c>
      <c r="P110" s="827">
        <f t="shared" ref="P110" si="396">SUM(P107:P109)</f>
        <v>0</v>
      </c>
      <c r="Q110" s="827">
        <f t="shared" ref="Q110" si="397">SUM(Q107:Q109)</f>
        <v>0</v>
      </c>
      <c r="R110" s="827">
        <f t="shared" ref="R110" si="398">SUM(R107:R109)</f>
        <v>0</v>
      </c>
      <c r="S110" s="827">
        <f t="shared" ref="S110" si="399">SUM(S107:S109)</f>
        <v>0</v>
      </c>
      <c r="T110" s="792" t="e">
        <f>S110/$S$92</f>
        <v>#DIV/0!</v>
      </c>
    </row>
    <row r="111" spans="1:20" s="840" customFormat="1" hidden="1">
      <c r="A111" s="1059" t="s">
        <v>251</v>
      </c>
      <c r="B111" s="770" t="s">
        <v>141</v>
      </c>
      <c r="C111" s="805"/>
      <c r="D111" s="805"/>
      <c r="E111" s="805"/>
      <c r="F111" s="805"/>
      <c r="G111" s="805"/>
      <c r="H111" s="805"/>
      <c r="I111" s="805"/>
      <c r="J111" s="805"/>
      <c r="K111" s="805"/>
      <c r="L111" s="805"/>
      <c r="M111" s="805"/>
      <c r="N111" s="805"/>
      <c r="O111" s="805"/>
      <c r="P111" s="805"/>
      <c r="Q111" s="805"/>
      <c r="R111" s="805"/>
      <c r="S111" s="817">
        <f t="shared" ref="S111:S113" si="400">SUM(C111:N111)</f>
        <v>0</v>
      </c>
      <c r="T111" s="752"/>
    </row>
    <row r="112" spans="1:20" s="840" customFormat="1" hidden="1">
      <c r="A112" s="1060"/>
      <c r="B112" s="770" t="s">
        <v>142</v>
      </c>
      <c r="C112" s="805"/>
      <c r="D112" s="805"/>
      <c r="E112" s="805"/>
      <c r="F112" s="805"/>
      <c r="G112" s="805"/>
      <c r="H112" s="805"/>
      <c r="I112" s="805"/>
      <c r="J112" s="805"/>
      <c r="K112" s="805"/>
      <c r="L112" s="805"/>
      <c r="M112" s="805"/>
      <c r="N112" s="805"/>
      <c r="O112" s="805"/>
      <c r="P112" s="805"/>
      <c r="Q112" s="805"/>
      <c r="R112" s="805"/>
      <c r="S112" s="817">
        <f t="shared" si="400"/>
        <v>0</v>
      </c>
      <c r="T112" s="752"/>
    </row>
    <row r="113" spans="1:20" s="840" customFormat="1" ht="12.75" hidden="1" customHeight="1">
      <c r="A113" s="1038" t="s">
        <v>303</v>
      </c>
      <c r="B113" s="770" t="s">
        <v>136</v>
      </c>
      <c r="C113" s="805"/>
      <c r="D113" s="805"/>
      <c r="E113" s="805"/>
      <c r="F113" s="805"/>
      <c r="G113" s="805"/>
      <c r="H113" s="805"/>
      <c r="I113" s="805"/>
      <c r="J113" s="805"/>
      <c r="K113" s="805"/>
      <c r="L113" s="805"/>
      <c r="M113" s="805"/>
      <c r="N113" s="805"/>
      <c r="O113" s="805"/>
      <c r="P113" s="805"/>
      <c r="Q113" s="805"/>
      <c r="R113" s="805"/>
      <c r="S113" s="817">
        <f t="shared" si="400"/>
        <v>0</v>
      </c>
      <c r="T113" s="752"/>
    </row>
    <row r="114" spans="1:20" s="840" customFormat="1" hidden="1">
      <c r="A114" s="1039"/>
      <c r="B114" s="826" t="s">
        <v>241</v>
      </c>
      <c r="C114" s="827">
        <f>SUM(C111:C113)</f>
        <v>0</v>
      </c>
      <c r="D114" s="827">
        <f t="shared" ref="D114" si="401">SUM(D111:D113)</f>
        <v>0</v>
      </c>
      <c r="E114" s="827">
        <f t="shared" ref="E114" si="402">SUM(E111:E113)</f>
        <v>0</v>
      </c>
      <c r="F114" s="827">
        <f t="shared" ref="F114" si="403">SUM(F111:F113)</f>
        <v>0</v>
      </c>
      <c r="G114" s="827">
        <f t="shared" ref="G114" si="404">SUM(G111:G113)</f>
        <v>0</v>
      </c>
      <c r="H114" s="827">
        <f t="shared" ref="H114" si="405">SUM(H111:H113)</f>
        <v>0</v>
      </c>
      <c r="I114" s="827">
        <f t="shared" ref="I114" si="406">SUM(I111:I113)</f>
        <v>0</v>
      </c>
      <c r="J114" s="827">
        <f t="shared" ref="J114" si="407">SUM(J111:J113)</f>
        <v>0</v>
      </c>
      <c r="K114" s="827">
        <f t="shared" ref="K114" si="408">SUM(K111:K113)</f>
        <v>0</v>
      </c>
      <c r="L114" s="827">
        <f t="shared" ref="L114" si="409">SUM(L111:L113)</f>
        <v>0</v>
      </c>
      <c r="M114" s="827">
        <f t="shared" ref="M114" si="410">SUM(M111:M113)</f>
        <v>0</v>
      </c>
      <c r="N114" s="827">
        <f t="shared" ref="N114" si="411">SUM(N111:N113)</f>
        <v>0</v>
      </c>
      <c r="O114" s="827">
        <f t="shared" ref="O114" si="412">SUM(O111:O113)</f>
        <v>0</v>
      </c>
      <c r="P114" s="827">
        <f t="shared" ref="P114" si="413">SUM(P111:P113)</f>
        <v>0</v>
      </c>
      <c r="Q114" s="827">
        <f t="shared" ref="Q114" si="414">SUM(Q111:Q113)</f>
        <v>0</v>
      </c>
      <c r="R114" s="827">
        <f t="shared" ref="R114" si="415">SUM(R111:R113)</f>
        <v>0</v>
      </c>
      <c r="S114" s="827">
        <f t="shared" ref="S114" si="416">SUM(S111:S113)</f>
        <v>0</v>
      </c>
      <c r="T114" s="792" t="e">
        <f>S114/$S$92</f>
        <v>#DIV/0!</v>
      </c>
    </row>
    <row r="115" spans="1:20" s="840" customFormat="1" hidden="1">
      <c r="A115" s="1040" t="s">
        <v>260</v>
      </c>
      <c r="B115" s="770" t="s">
        <v>141</v>
      </c>
      <c r="C115" s="805"/>
      <c r="D115" s="805"/>
      <c r="E115" s="805"/>
      <c r="F115" s="805"/>
      <c r="G115" s="805"/>
      <c r="H115" s="805"/>
      <c r="I115" s="805"/>
      <c r="J115" s="805"/>
      <c r="K115" s="805"/>
      <c r="L115" s="805"/>
      <c r="M115" s="805"/>
      <c r="N115" s="805"/>
      <c r="O115" s="805"/>
      <c r="P115" s="805"/>
      <c r="Q115" s="805"/>
      <c r="R115" s="805"/>
      <c r="S115" s="817">
        <f t="shared" ref="S115:S117" si="417">SUM(C115:N115)</f>
        <v>0</v>
      </c>
      <c r="T115" s="752"/>
    </row>
    <row r="116" spans="1:20" s="840" customFormat="1" hidden="1">
      <c r="A116" s="1041"/>
      <c r="B116" s="770" t="s">
        <v>142</v>
      </c>
      <c r="C116" s="805"/>
      <c r="D116" s="805"/>
      <c r="E116" s="805"/>
      <c r="F116" s="805"/>
      <c r="G116" s="805"/>
      <c r="H116" s="805"/>
      <c r="I116" s="805"/>
      <c r="J116" s="805"/>
      <c r="K116" s="805"/>
      <c r="L116" s="805"/>
      <c r="M116" s="805"/>
      <c r="N116" s="805"/>
      <c r="O116" s="805"/>
      <c r="P116" s="805"/>
      <c r="Q116" s="805"/>
      <c r="R116" s="805"/>
      <c r="S116" s="817">
        <f t="shared" si="417"/>
        <v>0</v>
      </c>
      <c r="T116" s="752"/>
    </row>
    <row r="117" spans="1:20" s="840" customFormat="1" hidden="1">
      <c r="A117" s="1041"/>
      <c r="B117" s="770" t="s">
        <v>136</v>
      </c>
      <c r="C117" s="805"/>
      <c r="D117" s="805"/>
      <c r="E117" s="805"/>
      <c r="F117" s="805"/>
      <c r="G117" s="805"/>
      <c r="H117" s="805"/>
      <c r="I117" s="805"/>
      <c r="J117" s="805"/>
      <c r="K117" s="805"/>
      <c r="L117" s="805"/>
      <c r="M117" s="805"/>
      <c r="N117" s="805"/>
      <c r="O117" s="805"/>
      <c r="P117" s="805"/>
      <c r="Q117" s="805"/>
      <c r="R117" s="805"/>
      <c r="S117" s="817">
        <f t="shared" si="417"/>
        <v>0</v>
      </c>
      <c r="T117" s="752"/>
    </row>
    <row r="118" spans="1:20" s="840" customFormat="1" hidden="1">
      <c r="A118" s="1042"/>
      <c r="B118" s="824" t="s">
        <v>267</v>
      </c>
      <c r="C118" s="825">
        <f>SUM(C115:C117)</f>
        <v>0</v>
      </c>
      <c r="D118" s="825">
        <f t="shared" ref="D118" si="418">SUM(D115:D117)</f>
        <v>0</v>
      </c>
      <c r="E118" s="825">
        <f t="shared" ref="E118" si="419">SUM(E115:E117)</f>
        <v>0</v>
      </c>
      <c r="F118" s="825">
        <f t="shared" ref="F118" si="420">SUM(F115:F117)</f>
        <v>0</v>
      </c>
      <c r="G118" s="825">
        <f t="shared" ref="G118" si="421">SUM(G115:G117)</f>
        <v>0</v>
      </c>
      <c r="H118" s="825">
        <f t="shared" ref="H118" si="422">SUM(H115:H117)</f>
        <v>0</v>
      </c>
      <c r="I118" s="825">
        <f t="shared" ref="I118" si="423">SUM(I115:I117)</f>
        <v>0</v>
      </c>
      <c r="J118" s="825">
        <f t="shared" ref="J118" si="424">SUM(J115:J117)</f>
        <v>0</v>
      </c>
      <c r="K118" s="825">
        <f t="shared" ref="K118" si="425">SUM(K115:K117)</f>
        <v>0</v>
      </c>
      <c r="L118" s="825">
        <f t="shared" ref="L118" si="426">SUM(L115:L117)</f>
        <v>0</v>
      </c>
      <c r="M118" s="825">
        <f t="shared" ref="M118" si="427">SUM(M115:M117)</f>
        <v>0</v>
      </c>
      <c r="N118" s="825">
        <f t="shared" ref="N118" si="428">SUM(N115:N117)</f>
        <v>0</v>
      </c>
      <c r="O118" s="825">
        <f t="shared" ref="O118" si="429">SUM(O115:O117)</f>
        <v>0</v>
      </c>
      <c r="P118" s="825">
        <f t="shared" ref="P118" si="430">SUM(P115:P117)</f>
        <v>0</v>
      </c>
      <c r="Q118" s="825">
        <f t="shared" ref="Q118" si="431">SUM(Q115:Q117)</f>
        <v>0</v>
      </c>
      <c r="R118" s="825">
        <f t="shared" ref="R118" si="432">SUM(R115:R117)</f>
        <v>0</v>
      </c>
      <c r="S118" s="825">
        <f t="shared" ref="S118" si="433">SUM(S115:S117)</f>
        <v>0</v>
      </c>
      <c r="T118" s="792" t="e">
        <f>S118/$S$92</f>
        <v>#DIV/0!</v>
      </c>
    </row>
    <row r="119" spans="1:20" hidden="1">
      <c r="A119" s="828"/>
      <c r="B119" s="829"/>
      <c r="C119" s="829"/>
      <c r="D119" s="829"/>
      <c r="E119" s="829"/>
      <c r="F119" s="829"/>
      <c r="G119" s="829"/>
      <c r="H119" s="829"/>
      <c r="I119" s="829"/>
      <c r="J119" s="829"/>
      <c r="K119" s="829"/>
      <c r="L119" s="829"/>
      <c r="M119" s="829"/>
      <c r="N119" s="829"/>
      <c r="O119" s="829"/>
      <c r="P119" s="829"/>
      <c r="Q119" s="829"/>
      <c r="R119" s="829"/>
      <c r="S119" s="783"/>
      <c r="T119" s="783"/>
    </row>
    <row r="120" spans="1:20" s="840" customFormat="1" hidden="1">
      <c r="A120" s="1043" t="s">
        <v>268</v>
      </c>
      <c r="B120" s="830" t="s">
        <v>250</v>
      </c>
      <c r="C120" s="831">
        <f t="shared" ref="C120:N120" si="434">C98-C106</f>
        <v>0</v>
      </c>
      <c r="D120" s="831">
        <f t="shared" si="434"/>
        <v>0</v>
      </c>
      <c r="E120" s="831">
        <f t="shared" si="434"/>
        <v>0</v>
      </c>
      <c r="F120" s="831">
        <f t="shared" si="434"/>
        <v>0</v>
      </c>
      <c r="G120" s="831">
        <f t="shared" si="434"/>
        <v>0</v>
      </c>
      <c r="H120" s="831">
        <f t="shared" si="434"/>
        <v>0</v>
      </c>
      <c r="I120" s="831">
        <f t="shared" si="434"/>
        <v>0</v>
      </c>
      <c r="J120" s="831">
        <f t="shared" si="434"/>
        <v>0</v>
      </c>
      <c r="K120" s="831">
        <f t="shared" si="434"/>
        <v>0</v>
      </c>
      <c r="L120" s="831">
        <f t="shared" si="434"/>
        <v>0</v>
      </c>
      <c r="M120" s="831">
        <f t="shared" si="434"/>
        <v>0</v>
      </c>
      <c r="N120" s="831">
        <f t="shared" si="434"/>
        <v>0</v>
      </c>
      <c r="O120" s="831">
        <f>C120+D120+E120</f>
        <v>0</v>
      </c>
      <c r="P120" s="831">
        <f>F120+G120+H120</f>
        <v>0</v>
      </c>
      <c r="Q120" s="831">
        <f>I120+J120+K120</f>
        <v>0</v>
      </c>
      <c r="R120" s="831">
        <f>L120+M120+N120</f>
        <v>0</v>
      </c>
      <c r="S120" s="831">
        <f t="shared" ref="S120" si="435">SUM(C120:N120)</f>
        <v>0</v>
      </c>
      <c r="T120" s="796"/>
    </row>
    <row r="121" spans="1:20" s="840" customFormat="1" hidden="1">
      <c r="A121" s="1044"/>
      <c r="B121" s="830" t="s">
        <v>247</v>
      </c>
      <c r="C121" s="831">
        <f t="shared" ref="C121:S121" si="436">C102-C110</f>
        <v>0</v>
      </c>
      <c r="D121" s="831">
        <f t="shared" si="436"/>
        <v>0</v>
      </c>
      <c r="E121" s="831">
        <f t="shared" si="436"/>
        <v>0</v>
      </c>
      <c r="F121" s="831">
        <f t="shared" si="436"/>
        <v>0</v>
      </c>
      <c r="G121" s="831">
        <f t="shared" si="436"/>
        <v>0</v>
      </c>
      <c r="H121" s="831">
        <f t="shared" si="436"/>
        <v>0</v>
      </c>
      <c r="I121" s="831">
        <f t="shared" si="436"/>
        <v>0</v>
      </c>
      <c r="J121" s="831">
        <f t="shared" si="436"/>
        <v>0</v>
      </c>
      <c r="K121" s="831">
        <f t="shared" si="436"/>
        <v>0</v>
      </c>
      <c r="L121" s="831">
        <f t="shared" si="436"/>
        <v>0</v>
      </c>
      <c r="M121" s="831">
        <f t="shared" si="436"/>
        <v>0</v>
      </c>
      <c r="N121" s="831">
        <f t="shared" si="436"/>
        <v>0</v>
      </c>
      <c r="O121" s="831">
        <f t="shared" si="436"/>
        <v>0</v>
      </c>
      <c r="P121" s="831">
        <f t="shared" si="436"/>
        <v>0</v>
      </c>
      <c r="Q121" s="831">
        <f t="shared" si="436"/>
        <v>0</v>
      </c>
      <c r="R121" s="831">
        <f t="shared" si="436"/>
        <v>0</v>
      </c>
      <c r="S121" s="831">
        <f t="shared" si="436"/>
        <v>0</v>
      </c>
      <c r="T121" s="796"/>
    </row>
    <row r="122" spans="1:20" s="840" customFormat="1" hidden="1">
      <c r="A122" s="1045"/>
      <c r="B122" s="830" t="s">
        <v>261</v>
      </c>
      <c r="C122" s="832" t="e">
        <f>C121/C120</f>
        <v>#DIV/0!</v>
      </c>
      <c r="D122" s="832" t="e">
        <f t="shared" ref="D122:S122" si="437">D121/D120</f>
        <v>#DIV/0!</v>
      </c>
      <c r="E122" s="832" t="e">
        <f t="shared" si="437"/>
        <v>#DIV/0!</v>
      </c>
      <c r="F122" s="832" t="e">
        <f t="shared" si="437"/>
        <v>#DIV/0!</v>
      </c>
      <c r="G122" s="832" t="e">
        <f t="shared" si="437"/>
        <v>#DIV/0!</v>
      </c>
      <c r="H122" s="832" t="e">
        <f t="shared" si="437"/>
        <v>#DIV/0!</v>
      </c>
      <c r="I122" s="832" t="e">
        <f t="shared" si="437"/>
        <v>#DIV/0!</v>
      </c>
      <c r="J122" s="832" t="e">
        <f t="shared" si="437"/>
        <v>#DIV/0!</v>
      </c>
      <c r="K122" s="832" t="e">
        <f t="shared" si="437"/>
        <v>#DIV/0!</v>
      </c>
      <c r="L122" s="832" t="e">
        <f t="shared" si="437"/>
        <v>#DIV/0!</v>
      </c>
      <c r="M122" s="832" t="e">
        <f t="shared" si="437"/>
        <v>#DIV/0!</v>
      </c>
      <c r="N122" s="832" t="e">
        <f t="shared" si="437"/>
        <v>#DIV/0!</v>
      </c>
      <c r="O122" s="832" t="e">
        <f t="shared" si="437"/>
        <v>#DIV/0!</v>
      </c>
      <c r="P122" s="832" t="e">
        <f t="shared" si="437"/>
        <v>#DIV/0!</v>
      </c>
      <c r="Q122" s="832" t="e">
        <f t="shared" si="437"/>
        <v>#DIV/0!</v>
      </c>
      <c r="R122" s="832" t="e">
        <f t="shared" si="437"/>
        <v>#DIV/0!</v>
      </c>
      <c r="S122" s="832" t="e">
        <f t="shared" si="437"/>
        <v>#DIV/0!</v>
      </c>
      <c r="T122" s="796"/>
    </row>
    <row r="123" spans="1:20" ht="6" hidden="1" customHeight="1" thickBot="1">
      <c r="A123" s="810"/>
      <c r="B123" s="811"/>
      <c r="C123" s="811"/>
      <c r="D123" s="811"/>
      <c r="E123" s="811"/>
      <c r="F123" s="811"/>
      <c r="G123" s="811"/>
      <c r="H123" s="811"/>
      <c r="I123" s="811"/>
      <c r="J123" s="811"/>
      <c r="K123" s="811"/>
      <c r="L123" s="811"/>
      <c r="M123" s="811"/>
      <c r="N123" s="811"/>
      <c r="O123" s="811"/>
      <c r="P123" s="811"/>
      <c r="Q123" s="811"/>
      <c r="R123" s="811"/>
      <c r="S123" s="785"/>
      <c r="T123" s="785"/>
    </row>
    <row r="124" spans="1:20" s="840" customFormat="1">
      <c r="A124" s="1046" t="s">
        <v>262</v>
      </c>
      <c r="B124" s="833" t="s">
        <v>187</v>
      </c>
      <c r="C124" s="787">
        <f t="shared" ref="C124:N124" si="438">C32+C62+C92</f>
        <v>27</v>
      </c>
      <c r="D124" s="787">
        <f t="shared" si="438"/>
        <v>27</v>
      </c>
      <c r="E124" s="787">
        <f t="shared" si="438"/>
        <v>25</v>
      </c>
      <c r="F124" s="787">
        <f t="shared" si="438"/>
        <v>27</v>
      </c>
      <c r="G124" s="787">
        <f t="shared" si="438"/>
        <v>25</v>
      </c>
      <c r="H124" s="787">
        <f t="shared" si="438"/>
        <v>25</v>
      </c>
      <c r="I124" s="787">
        <f t="shared" si="438"/>
        <v>0</v>
      </c>
      <c r="J124" s="787">
        <f t="shared" si="438"/>
        <v>0</v>
      </c>
      <c r="K124" s="787">
        <f t="shared" si="438"/>
        <v>0</v>
      </c>
      <c r="L124" s="787">
        <f t="shared" si="438"/>
        <v>0</v>
      </c>
      <c r="M124" s="787">
        <f t="shared" si="438"/>
        <v>0</v>
      </c>
      <c r="N124" s="787">
        <f t="shared" si="438"/>
        <v>0</v>
      </c>
      <c r="O124" s="787">
        <f>C124+D124+E124</f>
        <v>79</v>
      </c>
      <c r="P124" s="787">
        <f>F124+G124+H124</f>
        <v>77</v>
      </c>
      <c r="Q124" s="787">
        <f>I124+J124+K124</f>
        <v>0</v>
      </c>
      <c r="R124" s="787">
        <f>L124+M124+N124</f>
        <v>0</v>
      </c>
      <c r="S124" s="751">
        <f>SUM(C124:N124)</f>
        <v>156</v>
      </c>
      <c r="T124" s="752"/>
    </row>
    <row r="125" spans="1:20" s="840" customFormat="1">
      <c r="A125" s="1047"/>
      <c r="B125" s="834" t="s">
        <v>336</v>
      </c>
      <c r="C125" s="835">
        <f>'3b-RM Report Data'!J107</f>
        <v>3</v>
      </c>
      <c r="D125" s="835">
        <f>'3b-RM Report Data'!Q107</f>
        <v>3</v>
      </c>
      <c r="E125" s="835">
        <f>'3b-RM Report Data'!X107</f>
        <v>3</v>
      </c>
      <c r="F125" s="835">
        <f>'3b-RM Report Data'!AE107</f>
        <v>3</v>
      </c>
      <c r="G125" s="835">
        <f>'3b-RM Report Data'!AL107</f>
        <v>3</v>
      </c>
      <c r="H125" s="835">
        <f>'3b-RM Report Data'!AS107</f>
        <v>3</v>
      </c>
      <c r="I125" s="835">
        <f>'3b-RM Report Data'!AZ107</f>
        <v>3</v>
      </c>
      <c r="J125" s="835">
        <f>'3b-RM Report Data'!BG107</f>
        <v>3</v>
      </c>
      <c r="K125" s="835">
        <f>'3b-RM Report Data'!BN107</f>
        <v>3</v>
      </c>
      <c r="L125" s="835">
        <f>'3b-RM Report Data'!BU107</f>
        <v>3</v>
      </c>
      <c r="M125" s="835">
        <f>'3b-RM Report Data'!CB107</f>
        <v>3</v>
      </c>
      <c r="N125" s="835">
        <f>'3b-RM Report Data'!CI107</f>
        <v>3</v>
      </c>
      <c r="O125" s="835">
        <f>MAX(C125,D125,E125)</f>
        <v>3</v>
      </c>
      <c r="P125" s="835">
        <f>MAX(F125,G125,H125)</f>
        <v>3</v>
      </c>
      <c r="Q125" s="835">
        <f>MAX(I125,J125,K125)</f>
        <v>3</v>
      </c>
      <c r="R125" s="835">
        <f>MAX(L125,M125,N125)</f>
        <v>3</v>
      </c>
      <c r="S125" s="756">
        <f>MAX(C125:N125)</f>
        <v>3</v>
      </c>
      <c r="T125" s="752"/>
    </row>
    <row r="126" spans="1:20" s="840" customFormat="1">
      <c r="A126" s="1047" t="s">
        <v>297</v>
      </c>
      <c r="B126" s="757" t="s">
        <v>337</v>
      </c>
      <c r="C126" s="836">
        <f t="shared" ref="C126:N126" si="439">C5</f>
        <v>5</v>
      </c>
      <c r="D126" s="836">
        <f t="shared" si="439"/>
        <v>5</v>
      </c>
      <c r="E126" s="836">
        <f t="shared" si="439"/>
        <v>5</v>
      </c>
      <c r="F126" s="836">
        <f t="shared" si="439"/>
        <v>5</v>
      </c>
      <c r="G126" s="836">
        <f t="shared" si="439"/>
        <v>5</v>
      </c>
      <c r="H126" s="836">
        <f t="shared" si="439"/>
        <v>5</v>
      </c>
      <c r="I126" s="836">
        <f t="shared" si="439"/>
        <v>5</v>
      </c>
      <c r="J126" s="836">
        <f t="shared" si="439"/>
        <v>5</v>
      </c>
      <c r="K126" s="836">
        <f t="shared" si="439"/>
        <v>5</v>
      </c>
      <c r="L126" s="836">
        <f t="shared" si="439"/>
        <v>5</v>
      </c>
      <c r="M126" s="836">
        <f t="shared" si="439"/>
        <v>5</v>
      </c>
      <c r="N126" s="836">
        <f t="shared" si="439"/>
        <v>5</v>
      </c>
      <c r="O126" s="836">
        <f t="shared" ref="O126:O127" si="440">MAX(C126,D126,E126)</f>
        <v>5</v>
      </c>
      <c r="P126" s="836">
        <f t="shared" ref="P126:P127" si="441">MAX(F126,G126,H126)</f>
        <v>5</v>
      </c>
      <c r="Q126" s="836">
        <f t="shared" ref="Q126:Q127" si="442">MAX(I126,J126,K126)</f>
        <v>5</v>
      </c>
      <c r="R126" s="836">
        <f t="shared" ref="R126:R127" si="443">MAX(L126,M126,N126)</f>
        <v>5</v>
      </c>
      <c r="S126" s="760">
        <f t="shared" ref="S126:S127" si="444">MAX(C126:N126)</f>
        <v>5</v>
      </c>
      <c r="T126" s="752"/>
    </row>
    <row r="127" spans="1:20" s="845" customFormat="1" ht="14.4" thickBot="1">
      <c r="A127" s="1048"/>
      <c r="B127" s="761" t="s">
        <v>244</v>
      </c>
      <c r="C127" s="837">
        <f t="shared" ref="C127:N127" si="445">C6</f>
        <v>3</v>
      </c>
      <c r="D127" s="837">
        <f t="shared" si="445"/>
        <v>3</v>
      </c>
      <c r="E127" s="837">
        <f t="shared" si="445"/>
        <v>3</v>
      </c>
      <c r="F127" s="837">
        <f t="shared" si="445"/>
        <v>3</v>
      </c>
      <c r="G127" s="837">
        <f t="shared" si="445"/>
        <v>3</v>
      </c>
      <c r="H127" s="837">
        <f t="shared" si="445"/>
        <v>3</v>
      </c>
      <c r="I127" s="837">
        <f t="shared" si="445"/>
        <v>3</v>
      </c>
      <c r="J127" s="837">
        <f t="shared" si="445"/>
        <v>3</v>
      </c>
      <c r="K127" s="837">
        <f t="shared" si="445"/>
        <v>3</v>
      </c>
      <c r="L127" s="837">
        <f t="shared" si="445"/>
        <v>3</v>
      </c>
      <c r="M127" s="837">
        <f t="shared" si="445"/>
        <v>3</v>
      </c>
      <c r="N127" s="837">
        <f t="shared" si="445"/>
        <v>3</v>
      </c>
      <c r="O127" s="837">
        <f t="shared" si="440"/>
        <v>3</v>
      </c>
      <c r="P127" s="837">
        <f t="shared" si="441"/>
        <v>3</v>
      </c>
      <c r="Q127" s="837">
        <f t="shared" si="442"/>
        <v>3</v>
      </c>
      <c r="R127" s="837">
        <f t="shared" si="443"/>
        <v>3</v>
      </c>
      <c r="S127" s="791">
        <f t="shared" si="444"/>
        <v>3</v>
      </c>
      <c r="T127" s="792">
        <f>S127</f>
        <v>3</v>
      </c>
    </row>
    <row r="128" spans="1:20" s="845" customFormat="1">
      <c r="A128" s="1055" t="s">
        <v>248</v>
      </c>
      <c r="B128" s="765" t="s">
        <v>141</v>
      </c>
      <c r="C128" s="781">
        <f t="shared" ref="C128:N128" si="446">C34+C64+C95</f>
        <v>266.63</v>
      </c>
      <c r="D128" s="781">
        <f t="shared" si="446"/>
        <v>279.27999999999997</v>
      </c>
      <c r="E128" s="781">
        <f t="shared" si="446"/>
        <v>247.52</v>
      </c>
      <c r="F128" s="781">
        <f t="shared" si="446"/>
        <v>274.98</v>
      </c>
      <c r="G128" s="781">
        <f t="shared" si="446"/>
        <v>257.25</v>
      </c>
      <c r="H128" s="781">
        <f t="shared" si="446"/>
        <v>257.37</v>
      </c>
      <c r="I128" s="781">
        <f t="shared" si="446"/>
        <v>0</v>
      </c>
      <c r="J128" s="781">
        <f t="shared" si="446"/>
        <v>0</v>
      </c>
      <c r="K128" s="781">
        <f t="shared" si="446"/>
        <v>0</v>
      </c>
      <c r="L128" s="781">
        <f t="shared" si="446"/>
        <v>0</v>
      </c>
      <c r="M128" s="781">
        <f t="shared" si="446"/>
        <v>0</v>
      </c>
      <c r="N128" s="781">
        <f t="shared" si="446"/>
        <v>0</v>
      </c>
      <c r="O128" s="766">
        <f t="shared" ref="O128:O130" si="447">C128+D128+E128</f>
        <v>793.43</v>
      </c>
      <c r="P128" s="766">
        <f t="shared" ref="P128:P130" si="448">F128+G128+H128</f>
        <v>789.6</v>
      </c>
      <c r="Q128" s="766">
        <f t="shared" ref="Q128:Q130" si="449">I128+J128+K128</f>
        <v>0</v>
      </c>
      <c r="R128" s="766">
        <f t="shared" ref="R128:R130" si="450">L128+M128+N128</f>
        <v>0</v>
      </c>
      <c r="S128" s="768">
        <f t="shared" ref="S128:S130" si="451">SUM(C128:N128)</f>
        <v>1583.0299999999997</v>
      </c>
      <c r="T128" s="752"/>
    </row>
    <row r="129" spans="1:20" s="845" customFormat="1">
      <c r="A129" s="1056"/>
      <c r="B129" s="770" t="s">
        <v>142</v>
      </c>
      <c r="C129" s="782">
        <f t="shared" ref="C129:N129" si="452">C35+C65+C96</f>
        <v>278.52</v>
      </c>
      <c r="D129" s="782">
        <f t="shared" si="452"/>
        <v>278.52999999999997</v>
      </c>
      <c r="E129" s="782">
        <f t="shared" si="452"/>
        <v>254.17</v>
      </c>
      <c r="F129" s="782">
        <f t="shared" si="452"/>
        <v>291.72000000000003</v>
      </c>
      <c r="G129" s="782">
        <f t="shared" si="452"/>
        <v>252.68</v>
      </c>
      <c r="H129" s="782">
        <f t="shared" si="452"/>
        <v>267.10000000000002</v>
      </c>
      <c r="I129" s="782">
        <f t="shared" si="452"/>
        <v>0</v>
      </c>
      <c r="J129" s="782">
        <f t="shared" si="452"/>
        <v>0</v>
      </c>
      <c r="K129" s="782">
        <f t="shared" si="452"/>
        <v>0</v>
      </c>
      <c r="L129" s="782">
        <f t="shared" si="452"/>
        <v>0</v>
      </c>
      <c r="M129" s="782">
        <f t="shared" si="452"/>
        <v>0</v>
      </c>
      <c r="N129" s="782">
        <f t="shared" si="452"/>
        <v>0</v>
      </c>
      <c r="O129" s="758">
        <f t="shared" si="447"/>
        <v>811.21999999999991</v>
      </c>
      <c r="P129" s="758">
        <f t="shared" si="448"/>
        <v>811.50000000000011</v>
      </c>
      <c r="Q129" s="758">
        <f t="shared" si="449"/>
        <v>0</v>
      </c>
      <c r="R129" s="758">
        <f t="shared" si="450"/>
        <v>0</v>
      </c>
      <c r="S129" s="772">
        <f t="shared" si="451"/>
        <v>1622.7200000000003</v>
      </c>
      <c r="T129" s="752"/>
    </row>
    <row r="130" spans="1:20" s="840" customFormat="1">
      <c r="A130" s="1056"/>
      <c r="B130" s="770" t="s">
        <v>136</v>
      </c>
      <c r="C130" s="782">
        <f t="shared" ref="C130:N130" si="453">C36+C66+C97</f>
        <v>214.1</v>
      </c>
      <c r="D130" s="782">
        <f t="shared" si="453"/>
        <v>215.35</v>
      </c>
      <c r="E130" s="782">
        <f t="shared" si="453"/>
        <v>194.1</v>
      </c>
      <c r="F130" s="782">
        <f t="shared" si="453"/>
        <v>225.92</v>
      </c>
      <c r="G130" s="782">
        <f t="shared" si="453"/>
        <v>198.35</v>
      </c>
      <c r="H130" s="782">
        <f t="shared" si="453"/>
        <v>208.13</v>
      </c>
      <c r="I130" s="782">
        <f t="shared" si="453"/>
        <v>0</v>
      </c>
      <c r="J130" s="782">
        <f t="shared" si="453"/>
        <v>0</v>
      </c>
      <c r="K130" s="782">
        <f t="shared" si="453"/>
        <v>0</v>
      </c>
      <c r="L130" s="782">
        <f t="shared" si="453"/>
        <v>0</v>
      </c>
      <c r="M130" s="782">
        <f t="shared" si="453"/>
        <v>0</v>
      </c>
      <c r="N130" s="782">
        <f t="shared" si="453"/>
        <v>0</v>
      </c>
      <c r="O130" s="758">
        <f t="shared" si="447"/>
        <v>623.54999999999995</v>
      </c>
      <c r="P130" s="758">
        <f t="shared" si="448"/>
        <v>632.4</v>
      </c>
      <c r="Q130" s="758">
        <f t="shared" si="449"/>
        <v>0</v>
      </c>
      <c r="R130" s="758">
        <f t="shared" si="450"/>
        <v>0</v>
      </c>
      <c r="S130" s="772">
        <f t="shared" si="451"/>
        <v>1255.9499999999998</v>
      </c>
      <c r="T130" s="752"/>
    </row>
    <row r="131" spans="1:20" s="840" customFormat="1" ht="14.4" thickBot="1">
      <c r="A131" s="1057"/>
      <c r="B131" s="773" t="s">
        <v>45</v>
      </c>
      <c r="C131" s="774">
        <f>SUM(C128:C130)</f>
        <v>759.25</v>
      </c>
      <c r="D131" s="774">
        <f t="shared" ref="D131" si="454">SUM(D128:D130)</f>
        <v>773.16</v>
      </c>
      <c r="E131" s="774">
        <f t="shared" ref="E131" si="455">SUM(E128:E130)</f>
        <v>695.79</v>
      </c>
      <c r="F131" s="774">
        <f t="shared" ref="F131" si="456">SUM(F128:F130)</f>
        <v>792.62</v>
      </c>
      <c r="G131" s="774">
        <f t="shared" ref="G131" si="457">SUM(G128:G130)</f>
        <v>708.28</v>
      </c>
      <c r="H131" s="774">
        <f t="shared" ref="H131" si="458">SUM(H128:H130)</f>
        <v>732.6</v>
      </c>
      <c r="I131" s="774">
        <f t="shared" ref="I131" si="459">SUM(I128:I130)</f>
        <v>0</v>
      </c>
      <c r="J131" s="774">
        <f t="shared" ref="J131" si="460">SUM(J128:J130)</f>
        <v>0</v>
      </c>
      <c r="K131" s="774">
        <f t="shared" ref="K131" si="461">SUM(K128:K130)</f>
        <v>0</v>
      </c>
      <c r="L131" s="774">
        <f t="shared" ref="L131" si="462">SUM(L128:L130)</f>
        <v>0</v>
      </c>
      <c r="M131" s="774">
        <f t="shared" ref="M131" si="463">SUM(M128:M130)</f>
        <v>0</v>
      </c>
      <c r="N131" s="774">
        <f t="shared" ref="N131" si="464">SUM(N128:N130)</f>
        <v>0</v>
      </c>
      <c r="O131" s="775">
        <f t="shared" ref="O131" si="465">SUM(O128:O130)</f>
        <v>2228.1999999999998</v>
      </c>
      <c r="P131" s="775">
        <f t="shared" ref="P131" si="466">SUM(P128:P130)</f>
        <v>2233.5</v>
      </c>
      <c r="Q131" s="775">
        <f t="shared" ref="Q131" si="467">SUM(Q128:Q130)</f>
        <v>0</v>
      </c>
      <c r="R131" s="775">
        <f t="shared" ref="R131" si="468">SUM(R128:R130)</f>
        <v>0</v>
      </c>
      <c r="S131" s="776">
        <f t="shared" ref="S131" si="469">SUM(S128:S130)</f>
        <v>4461.7</v>
      </c>
      <c r="T131" s="792">
        <f>IFERROR(S131/$S$124,0)</f>
        <v>28.600641025641025</v>
      </c>
    </row>
    <row r="132" spans="1:20" s="840" customFormat="1">
      <c r="A132" s="1055" t="s">
        <v>245</v>
      </c>
      <c r="B132" s="765" t="s">
        <v>141</v>
      </c>
      <c r="C132" s="781">
        <f t="shared" ref="C132:N132" si="470">C38+C68+C99</f>
        <v>5646</v>
      </c>
      <c r="D132" s="781">
        <f t="shared" si="470"/>
        <v>5963</v>
      </c>
      <c r="E132" s="781">
        <f t="shared" si="470"/>
        <v>5234</v>
      </c>
      <c r="F132" s="781">
        <f t="shared" si="470"/>
        <v>5754</v>
      </c>
      <c r="G132" s="781">
        <f t="shared" si="470"/>
        <v>5316</v>
      </c>
      <c r="H132" s="781">
        <f t="shared" si="470"/>
        <v>5259</v>
      </c>
      <c r="I132" s="781">
        <f t="shared" si="470"/>
        <v>0</v>
      </c>
      <c r="J132" s="781">
        <f t="shared" si="470"/>
        <v>0</v>
      </c>
      <c r="K132" s="781">
        <f t="shared" si="470"/>
        <v>0</v>
      </c>
      <c r="L132" s="781">
        <f t="shared" si="470"/>
        <v>0</v>
      </c>
      <c r="M132" s="781">
        <f t="shared" si="470"/>
        <v>0</v>
      </c>
      <c r="N132" s="781">
        <f t="shared" si="470"/>
        <v>0</v>
      </c>
      <c r="O132" s="766">
        <f t="shared" ref="O132:O134" si="471">C132+D132+E132</f>
        <v>16843</v>
      </c>
      <c r="P132" s="766">
        <f t="shared" ref="P132:P134" si="472">F132+G132+H132</f>
        <v>16329</v>
      </c>
      <c r="Q132" s="766">
        <f t="shared" ref="Q132:Q134" si="473">I132+J132+K132</f>
        <v>0</v>
      </c>
      <c r="R132" s="766">
        <f t="shared" ref="R132:R134" si="474">L132+M132+N132</f>
        <v>0</v>
      </c>
      <c r="S132" s="768">
        <f t="shared" ref="S132:S134" si="475">SUM(C132:N132)</f>
        <v>33172</v>
      </c>
      <c r="T132" s="752"/>
    </row>
    <row r="133" spans="1:20" s="840" customFormat="1">
      <c r="A133" s="1056"/>
      <c r="B133" s="770" t="s">
        <v>142</v>
      </c>
      <c r="C133" s="782">
        <f t="shared" ref="C133:N133" si="476">C39+C69+C100</f>
        <v>5596</v>
      </c>
      <c r="D133" s="782">
        <f t="shared" si="476"/>
        <v>5658</v>
      </c>
      <c r="E133" s="782">
        <f t="shared" si="476"/>
        <v>5245</v>
      </c>
      <c r="F133" s="782">
        <f t="shared" si="476"/>
        <v>5970</v>
      </c>
      <c r="G133" s="782">
        <f t="shared" si="476"/>
        <v>5056</v>
      </c>
      <c r="H133" s="782">
        <f t="shared" si="476"/>
        <v>5369</v>
      </c>
      <c r="I133" s="782">
        <f t="shared" si="476"/>
        <v>0</v>
      </c>
      <c r="J133" s="782">
        <f t="shared" si="476"/>
        <v>0</v>
      </c>
      <c r="K133" s="782">
        <f t="shared" si="476"/>
        <v>0</v>
      </c>
      <c r="L133" s="782">
        <f t="shared" si="476"/>
        <v>0</v>
      </c>
      <c r="M133" s="782">
        <f t="shared" si="476"/>
        <v>0</v>
      </c>
      <c r="N133" s="782">
        <f t="shared" si="476"/>
        <v>0</v>
      </c>
      <c r="O133" s="758">
        <f t="shared" si="471"/>
        <v>16499</v>
      </c>
      <c r="P133" s="758">
        <f t="shared" si="472"/>
        <v>16395</v>
      </c>
      <c r="Q133" s="758">
        <f t="shared" si="473"/>
        <v>0</v>
      </c>
      <c r="R133" s="758">
        <f t="shared" si="474"/>
        <v>0</v>
      </c>
      <c r="S133" s="772">
        <f t="shared" si="475"/>
        <v>32894</v>
      </c>
      <c r="T133" s="752"/>
    </row>
    <row r="134" spans="1:20" s="840" customFormat="1">
      <c r="A134" s="1056"/>
      <c r="B134" s="770" t="s">
        <v>136</v>
      </c>
      <c r="C134" s="782">
        <f t="shared" ref="C134:N134" si="477">C40+C70+C101</f>
        <v>3740</v>
      </c>
      <c r="D134" s="782">
        <f t="shared" si="477"/>
        <v>3631</v>
      </c>
      <c r="E134" s="782">
        <f t="shared" si="477"/>
        <v>3352</v>
      </c>
      <c r="F134" s="782">
        <f t="shared" si="477"/>
        <v>3812</v>
      </c>
      <c r="G134" s="782">
        <f t="shared" si="477"/>
        <v>3302</v>
      </c>
      <c r="H134" s="782">
        <f t="shared" si="477"/>
        <v>3474</v>
      </c>
      <c r="I134" s="782">
        <f t="shared" si="477"/>
        <v>0</v>
      </c>
      <c r="J134" s="782">
        <f t="shared" si="477"/>
        <v>0</v>
      </c>
      <c r="K134" s="782">
        <f t="shared" si="477"/>
        <v>0</v>
      </c>
      <c r="L134" s="782">
        <f t="shared" si="477"/>
        <v>0</v>
      </c>
      <c r="M134" s="782">
        <f t="shared" si="477"/>
        <v>0</v>
      </c>
      <c r="N134" s="782">
        <f t="shared" si="477"/>
        <v>0</v>
      </c>
      <c r="O134" s="758">
        <f t="shared" si="471"/>
        <v>10723</v>
      </c>
      <c r="P134" s="758">
        <f t="shared" si="472"/>
        <v>10588</v>
      </c>
      <c r="Q134" s="758">
        <f t="shared" si="473"/>
        <v>0</v>
      </c>
      <c r="R134" s="758">
        <f t="shared" si="474"/>
        <v>0</v>
      </c>
      <c r="S134" s="772">
        <f t="shared" si="475"/>
        <v>21311</v>
      </c>
      <c r="T134" s="752"/>
    </row>
    <row r="135" spans="1:20" s="840" customFormat="1" ht="14.4" thickBot="1">
      <c r="A135" s="1057"/>
      <c r="B135" s="773" t="s">
        <v>46</v>
      </c>
      <c r="C135" s="774">
        <f>SUM(C132:C134)</f>
        <v>14982</v>
      </c>
      <c r="D135" s="774">
        <f t="shared" ref="D135:N135" si="478">SUM(D132:D134)</f>
        <v>15252</v>
      </c>
      <c r="E135" s="774">
        <f t="shared" si="478"/>
        <v>13831</v>
      </c>
      <c r="F135" s="774">
        <f t="shared" si="478"/>
        <v>15536</v>
      </c>
      <c r="G135" s="774">
        <f t="shared" si="478"/>
        <v>13674</v>
      </c>
      <c r="H135" s="774">
        <f t="shared" si="478"/>
        <v>14102</v>
      </c>
      <c r="I135" s="774">
        <f t="shared" si="478"/>
        <v>0</v>
      </c>
      <c r="J135" s="774">
        <f t="shared" si="478"/>
        <v>0</v>
      </c>
      <c r="K135" s="774">
        <f t="shared" si="478"/>
        <v>0</v>
      </c>
      <c r="L135" s="774">
        <f t="shared" si="478"/>
        <v>0</v>
      </c>
      <c r="M135" s="774">
        <f t="shared" si="478"/>
        <v>0</v>
      </c>
      <c r="N135" s="774">
        <f t="shared" si="478"/>
        <v>0</v>
      </c>
      <c r="O135" s="775">
        <f t="shared" ref="O135" si="479">SUM(O132:O134)</f>
        <v>44065</v>
      </c>
      <c r="P135" s="775">
        <f t="shared" ref="P135" si="480">SUM(P132:P134)</f>
        <v>43312</v>
      </c>
      <c r="Q135" s="775">
        <f t="shared" ref="Q135" si="481">SUM(Q132:Q134)</f>
        <v>0</v>
      </c>
      <c r="R135" s="775">
        <f t="shared" ref="R135" si="482">SUM(R132:R134)</f>
        <v>0</v>
      </c>
      <c r="S135" s="776">
        <f t="shared" ref="S135" si="483">SUM(S132:S134)</f>
        <v>87377</v>
      </c>
      <c r="T135" s="792">
        <f>IFERROR(S135/$S$124,0)</f>
        <v>560.10897435897436</v>
      </c>
    </row>
    <row r="136" spans="1:20" s="840" customFormat="1">
      <c r="A136" s="1049" t="s">
        <v>249</v>
      </c>
      <c r="B136" s="765" t="s">
        <v>141</v>
      </c>
      <c r="C136" s="781">
        <f t="shared" ref="C136:N136" si="484">C42+C72+C103</f>
        <v>225</v>
      </c>
      <c r="D136" s="781">
        <f t="shared" si="484"/>
        <v>235</v>
      </c>
      <c r="E136" s="781">
        <f t="shared" si="484"/>
        <v>208</v>
      </c>
      <c r="F136" s="781">
        <f t="shared" si="484"/>
        <v>233</v>
      </c>
      <c r="G136" s="781">
        <f t="shared" si="484"/>
        <v>218</v>
      </c>
      <c r="H136" s="781">
        <f t="shared" si="484"/>
        <v>215</v>
      </c>
      <c r="I136" s="781">
        <f t="shared" si="484"/>
        <v>0</v>
      </c>
      <c r="J136" s="781">
        <f t="shared" si="484"/>
        <v>0</v>
      </c>
      <c r="K136" s="781">
        <f t="shared" si="484"/>
        <v>0</v>
      </c>
      <c r="L136" s="781">
        <f t="shared" si="484"/>
        <v>0</v>
      </c>
      <c r="M136" s="781">
        <f t="shared" si="484"/>
        <v>0</v>
      </c>
      <c r="N136" s="781">
        <f t="shared" si="484"/>
        <v>0</v>
      </c>
      <c r="O136" s="766">
        <f t="shared" ref="O136:O138" si="485">C136+D136+E136</f>
        <v>668</v>
      </c>
      <c r="P136" s="766">
        <f t="shared" ref="P136:P138" si="486">F136+G136+H136</f>
        <v>666</v>
      </c>
      <c r="Q136" s="766">
        <f t="shared" ref="Q136:Q138" si="487">I136+J136+K136</f>
        <v>0</v>
      </c>
      <c r="R136" s="766">
        <f t="shared" ref="R136:R138" si="488">L136+M136+N136</f>
        <v>0</v>
      </c>
      <c r="S136" s="768">
        <f t="shared" ref="S136:S138" si="489">SUM(C136:N136)</f>
        <v>1334</v>
      </c>
      <c r="T136" s="752"/>
    </row>
    <row r="137" spans="1:20" s="840" customFormat="1">
      <c r="A137" s="1050"/>
      <c r="B137" s="770" t="s">
        <v>142</v>
      </c>
      <c r="C137" s="782">
        <f t="shared" ref="C137:N137" si="490">C43+C73+C104</f>
        <v>244</v>
      </c>
      <c r="D137" s="782">
        <f t="shared" si="490"/>
        <v>244</v>
      </c>
      <c r="E137" s="782">
        <f t="shared" si="490"/>
        <v>222</v>
      </c>
      <c r="F137" s="782">
        <f t="shared" si="490"/>
        <v>255</v>
      </c>
      <c r="G137" s="782">
        <f t="shared" si="490"/>
        <v>221</v>
      </c>
      <c r="H137" s="782">
        <f t="shared" si="490"/>
        <v>233</v>
      </c>
      <c r="I137" s="782">
        <f t="shared" si="490"/>
        <v>0</v>
      </c>
      <c r="J137" s="782">
        <f t="shared" si="490"/>
        <v>0</v>
      </c>
      <c r="K137" s="782">
        <f t="shared" si="490"/>
        <v>0</v>
      </c>
      <c r="L137" s="782">
        <f t="shared" si="490"/>
        <v>0</v>
      </c>
      <c r="M137" s="782">
        <f t="shared" si="490"/>
        <v>0</v>
      </c>
      <c r="N137" s="782">
        <f t="shared" si="490"/>
        <v>0</v>
      </c>
      <c r="O137" s="758">
        <f t="shared" si="485"/>
        <v>710</v>
      </c>
      <c r="P137" s="758">
        <f t="shared" si="486"/>
        <v>709</v>
      </c>
      <c r="Q137" s="758">
        <f t="shared" si="487"/>
        <v>0</v>
      </c>
      <c r="R137" s="758">
        <f t="shared" si="488"/>
        <v>0</v>
      </c>
      <c r="S137" s="772">
        <f t="shared" si="489"/>
        <v>1419</v>
      </c>
      <c r="T137" s="752"/>
    </row>
    <row r="138" spans="1:20" s="840" customFormat="1">
      <c r="A138" s="1050"/>
      <c r="B138" s="770" t="s">
        <v>136</v>
      </c>
      <c r="C138" s="782">
        <f t="shared" ref="C138:N138" si="491">C44+C74+C105</f>
        <v>194</v>
      </c>
      <c r="D138" s="782">
        <f t="shared" si="491"/>
        <v>194</v>
      </c>
      <c r="E138" s="782">
        <f t="shared" si="491"/>
        <v>176</v>
      </c>
      <c r="F138" s="782">
        <f t="shared" si="491"/>
        <v>202</v>
      </c>
      <c r="G138" s="782">
        <f t="shared" si="491"/>
        <v>175</v>
      </c>
      <c r="H138" s="782">
        <f t="shared" si="491"/>
        <v>184</v>
      </c>
      <c r="I138" s="782">
        <f t="shared" si="491"/>
        <v>0</v>
      </c>
      <c r="J138" s="782">
        <f t="shared" si="491"/>
        <v>0</v>
      </c>
      <c r="K138" s="782">
        <f t="shared" si="491"/>
        <v>0</v>
      </c>
      <c r="L138" s="782">
        <f t="shared" si="491"/>
        <v>0</v>
      </c>
      <c r="M138" s="782">
        <f t="shared" si="491"/>
        <v>0</v>
      </c>
      <c r="N138" s="782">
        <f t="shared" si="491"/>
        <v>0</v>
      </c>
      <c r="O138" s="758">
        <f t="shared" si="485"/>
        <v>564</v>
      </c>
      <c r="P138" s="758">
        <f t="shared" si="486"/>
        <v>561</v>
      </c>
      <c r="Q138" s="758">
        <f t="shared" si="487"/>
        <v>0</v>
      </c>
      <c r="R138" s="758">
        <f t="shared" si="488"/>
        <v>0</v>
      </c>
      <c r="S138" s="772">
        <f t="shared" si="489"/>
        <v>1125</v>
      </c>
      <c r="T138" s="752"/>
    </row>
    <row r="139" spans="1:20" s="840" customFormat="1" ht="14.4" thickBot="1">
      <c r="A139" s="1051"/>
      <c r="B139" s="838" t="s">
        <v>109</v>
      </c>
      <c r="C139" s="778">
        <f>SUM(C136:C138)</f>
        <v>663</v>
      </c>
      <c r="D139" s="778">
        <f t="shared" ref="D139:N139" si="492">SUM(D136:D138)</f>
        <v>673</v>
      </c>
      <c r="E139" s="778">
        <f t="shared" si="492"/>
        <v>606</v>
      </c>
      <c r="F139" s="778">
        <f t="shared" si="492"/>
        <v>690</v>
      </c>
      <c r="G139" s="778">
        <f t="shared" si="492"/>
        <v>614</v>
      </c>
      <c r="H139" s="778">
        <f t="shared" si="492"/>
        <v>632</v>
      </c>
      <c r="I139" s="778">
        <f t="shared" si="492"/>
        <v>0</v>
      </c>
      <c r="J139" s="778">
        <f t="shared" si="492"/>
        <v>0</v>
      </c>
      <c r="K139" s="778">
        <f t="shared" si="492"/>
        <v>0</v>
      </c>
      <c r="L139" s="778">
        <f t="shared" si="492"/>
        <v>0</v>
      </c>
      <c r="M139" s="778">
        <f t="shared" si="492"/>
        <v>0</v>
      </c>
      <c r="N139" s="778">
        <f t="shared" si="492"/>
        <v>0</v>
      </c>
      <c r="O139" s="779">
        <f t="shared" ref="O139" si="493">SUM(O136:O138)</f>
        <v>1942</v>
      </c>
      <c r="P139" s="779">
        <f t="shared" ref="P139" si="494">SUM(P136:P138)</f>
        <v>1936</v>
      </c>
      <c r="Q139" s="779">
        <f t="shared" ref="Q139" si="495">SUM(Q136:Q138)</f>
        <v>0</v>
      </c>
      <c r="R139" s="779">
        <f t="shared" ref="R139" si="496">SUM(R136:R138)</f>
        <v>0</v>
      </c>
      <c r="S139" s="780">
        <f t="shared" ref="S139" si="497">SUM(S136:S138)</f>
        <v>3878</v>
      </c>
      <c r="T139" s="792">
        <f>IFERROR(S139/$S$124,0)</f>
        <v>24.858974358974358</v>
      </c>
    </row>
    <row r="140" spans="1:20" s="840" customFormat="1">
      <c r="A140" s="1049" t="s">
        <v>246</v>
      </c>
      <c r="B140" s="765" t="s">
        <v>141</v>
      </c>
      <c r="C140" s="781">
        <f t="shared" ref="C140:N140" si="498">C46+C76+C107</f>
        <v>4002</v>
      </c>
      <c r="D140" s="781">
        <f t="shared" si="498"/>
        <v>4306</v>
      </c>
      <c r="E140" s="781">
        <f t="shared" si="498"/>
        <v>3743</v>
      </c>
      <c r="F140" s="781">
        <f t="shared" si="498"/>
        <v>4223</v>
      </c>
      <c r="G140" s="781">
        <f t="shared" si="498"/>
        <v>3933</v>
      </c>
      <c r="H140" s="781">
        <f t="shared" si="498"/>
        <v>3797</v>
      </c>
      <c r="I140" s="781">
        <f t="shared" si="498"/>
        <v>0</v>
      </c>
      <c r="J140" s="781">
        <f t="shared" si="498"/>
        <v>0</v>
      </c>
      <c r="K140" s="781">
        <f t="shared" si="498"/>
        <v>0</v>
      </c>
      <c r="L140" s="781">
        <f t="shared" si="498"/>
        <v>0</v>
      </c>
      <c r="M140" s="781">
        <f t="shared" si="498"/>
        <v>0</v>
      </c>
      <c r="N140" s="781">
        <f t="shared" si="498"/>
        <v>0</v>
      </c>
      <c r="O140" s="766">
        <f t="shared" ref="O140:O142" si="499">C140+D140+E140</f>
        <v>12051</v>
      </c>
      <c r="P140" s="766">
        <f t="shared" ref="P140:P142" si="500">F140+G140+H140</f>
        <v>11953</v>
      </c>
      <c r="Q140" s="766">
        <f t="shared" ref="Q140:Q142" si="501">I140+J140+K140</f>
        <v>0</v>
      </c>
      <c r="R140" s="766">
        <f t="shared" ref="R140:R142" si="502">L140+M140+N140</f>
        <v>0</v>
      </c>
      <c r="S140" s="768">
        <f t="shared" ref="S140:S142" si="503">SUM(C140:N140)</f>
        <v>24004</v>
      </c>
      <c r="T140" s="752"/>
    </row>
    <row r="141" spans="1:20" s="840" customFormat="1">
      <c r="A141" s="1050"/>
      <c r="B141" s="770" t="s">
        <v>142</v>
      </c>
      <c r="C141" s="782">
        <f t="shared" ref="C141:N141" si="504">C47+C77+C108</f>
        <v>4840</v>
      </c>
      <c r="D141" s="782">
        <f t="shared" si="504"/>
        <v>4853</v>
      </c>
      <c r="E141" s="782">
        <f t="shared" si="504"/>
        <v>4405</v>
      </c>
      <c r="F141" s="782">
        <f t="shared" si="504"/>
        <v>5048</v>
      </c>
      <c r="G141" s="782">
        <f t="shared" si="504"/>
        <v>4338</v>
      </c>
      <c r="H141" s="782">
        <f t="shared" si="504"/>
        <v>4619</v>
      </c>
      <c r="I141" s="782">
        <f t="shared" si="504"/>
        <v>0</v>
      </c>
      <c r="J141" s="782">
        <f t="shared" si="504"/>
        <v>0</v>
      </c>
      <c r="K141" s="782">
        <f t="shared" si="504"/>
        <v>0</v>
      </c>
      <c r="L141" s="782">
        <f t="shared" si="504"/>
        <v>0</v>
      </c>
      <c r="M141" s="782">
        <f t="shared" si="504"/>
        <v>0</v>
      </c>
      <c r="N141" s="782">
        <f t="shared" si="504"/>
        <v>0</v>
      </c>
      <c r="O141" s="758">
        <f t="shared" si="499"/>
        <v>14098</v>
      </c>
      <c r="P141" s="758">
        <f t="shared" si="500"/>
        <v>14005</v>
      </c>
      <c r="Q141" s="758">
        <f t="shared" si="501"/>
        <v>0</v>
      </c>
      <c r="R141" s="758">
        <f t="shared" si="502"/>
        <v>0</v>
      </c>
      <c r="S141" s="772">
        <f t="shared" si="503"/>
        <v>28103</v>
      </c>
      <c r="T141" s="752"/>
    </row>
    <row r="142" spans="1:20" s="840" customFormat="1">
      <c r="A142" s="1050"/>
      <c r="B142" s="770" t="s">
        <v>136</v>
      </c>
      <c r="C142" s="782">
        <f t="shared" ref="C142:N142" si="505">C48+C78+C109</f>
        <v>3064</v>
      </c>
      <c r="D142" s="782">
        <f t="shared" si="505"/>
        <v>3098</v>
      </c>
      <c r="E142" s="782">
        <f t="shared" si="505"/>
        <v>2932</v>
      </c>
      <c r="F142" s="782">
        <f t="shared" si="505"/>
        <v>3367</v>
      </c>
      <c r="G142" s="782">
        <f t="shared" si="505"/>
        <v>2940</v>
      </c>
      <c r="H142" s="782">
        <f t="shared" si="505"/>
        <v>3052</v>
      </c>
      <c r="I142" s="782">
        <f t="shared" si="505"/>
        <v>0</v>
      </c>
      <c r="J142" s="782">
        <f t="shared" si="505"/>
        <v>0</v>
      </c>
      <c r="K142" s="782">
        <f t="shared" si="505"/>
        <v>0</v>
      </c>
      <c r="L142" s="782">
        <f t="shared" si="505"/>
        <v>0</v>
      </c>
      <c r="M142" s="782">
        <f t="shared" si="505"/>
        <v>0</v>
      </c>
      <c r="N142" s="782">
        <f t="shared" si="505"/>
        <v>0</v>
      </c>
      <c r="O142" s="758">
        <f t="shared" si="499"/>
        <v>9094</v>
      </c>
      <c r="P142" s="758">
        <f t="shared" si="500"/>
        <v>9359</v>
      </c>
      <c r="Q142" s="758">
        <f t="shared" si="501"/>
        <v>0</v>
      </c>
      <c r="R142" s="758">
        <f t="shared" si="502"/>
        <v>0</v>
      </c>
      <c r="S142" s="772">
        <f t="shared" si="503"/>
        <v>18453</v>
      </c>
      <c r="T142" s="752"/>
    </row>
    <row r="143" spans="1:20" s="840" customFormat="1" ht="14.4" thickBot="1">
      <c r="A143" s="1051"/>
      <c r="B143" s="838" t="s">
        <v>47</v>
      </c>
      <c r="C143" s="778">
        <f>SUM(C140:C142)</f>
        <v>11906</v>
      </c>
      <c r="D143" s="778">
        <f t="shared" ref="D143:N143" si="506">SUM(D140:D142)</f>
        <v>12257</v>
      </c>
      <c r="E143" s="778">
        <f t="shared" si="506"/>
        <v>11080</v>
      </c>
      <c r="F143" s="778">
        <f t="shared" si="506"/>
        <v>12638</v>
      </c>
      <c r="G143" s="778">
        <f t="shared" si="506"/>
        <v>11211</v>
      </c>
      <c r="H143" s="778">
        <f t="shared" si="506"/>
        <v>11468</v>
      </c>
      <c r="I143" s="778">
        <f t="shared" si="506"/>
        <v>0</v>
      </c>
      <c r="J143" s="778">
        <f t="shared" si="506"/>
        <v>0</v>
      </c>
      <c r="K143" s="778">
        <f t="shared" si="506"/>
        <v>0</v>
      </c>
      <c r="L143" s="778">
        <f t="shared" si="506"/>
        <v>0</v>
      </c>
      <c r="M143" s="778">
        <f t="shared" si="506"/>
        <v>0</v>
      </c>
      <c r="N143" s="778">
        <f t="shared" si="506"/>
        <v>0</v>
      </c>
      <c r="O143" s="779">
        <f t="shared" ref="O143" si="507">SUM(O140:O142)</f>
        <v>35243</v>
      </c>
      <c r="P143" s="779">
        <f t="shared" ref="P143" si="508">SUM(P140:P142)</f>
        <v>35317</v>
      </c>
      <c r="Q143" s="779">
        <f t="shared" ref="Q143" si="509">SUM(Q140:Q142)</f>
        <v>0</v>
      </c>
      <c r="R143" s="779">
        <f t="shared" ref="R143" si="510">SUM(R140:R142)</f>
        <v>0</v>
      </c>
      <c r="S143" s="780">
        <f t="shared" ref="S143" si="511">SUM(S140:S142)</f>
        <v>70560</v>
      </c>
      <c r="T143" s="792">
        <f>IFERROR(S143/$S$124,0)</f>
        <v>452.30769230769232</v>
      </c>
    </row>
    <row r="144" spans="1:20" s="840" customFormat="1">
      <c r="A144" s="1055" t="s">
        <v>251</v>
      </c>
      <c r="B144" s="765" t="s">
        <v>141</v>
      </c>
      <c r="C144" s="781">
        <f t="shared" ref="C144:N144" si="512">C50+C80+C111</f>
        <v>14733</v>
      </c>
      <c r="D144" s="781">
        <f t="shared" si="512"/>
        <v>15994</v>
      </c>
      <c r="E144" s="781">
        <f t="shared" si="512"/>
        <v>14206</v>
      </c>
      <c r="F144" s="781">
        <f t="shared" si="512"/>
        <v>15538</v>
      </c>
      <c r="G144" s="781">
        <f t="shared" si="512"/>
        <v>13390</v>
      </c>
      <c r="H144" s="781">
        <f t="shared" si="512"/>
        <v>10717</v>
      </c>
      <c r="I144" s="781">
        <f t="shared" si="512"/>
        <v>0</v>
      </c>
      <c r="J144" s="781">
        <f t="shared" si="512"/>
        <v>0</v>
      </c>
      <c r="K144" s="781">
        <f t="shared" si="512"/>
        <v>0</v>
      </c>
      <c r="L144" s="781">
        <f t="shared" si="512"/>
        <v>0</v>
      </c>
      <c r="M144" s="781">
        <f t="shared" si="512"/>
        <v>0</v>
      </c>
      <c r="N144" s="781">
        <f t="shared" si="512"/>
        <v>0</v>
      </c>
      <c r="O144" s="766">
        <f t="shared" ref="O144:O146" si="513">C144+D144+E144</f>
        <v>44933</v>
      </c>
      <c r="P144" s="766">
        <f t="shared" ref="P144:P146" si="514">F144+G144+H144</f>
        <v>39645</v>
      </c>
      <c r="Q144" s="766">
        <f t="shared" ref="Q144:Q146" si="515">I144+J144+K144</f>
        <v>0</v>
      </c>
      <c r="R144" s="766">
        <f t="shared" ref="R144:R146" si="516">L144+M144+N144</f>
        <v>0</v>
      </c>
      <c r="S144" s="768">
        <f t="shared" ref="S144:S146" si="517">SUM(C144:N144)</f>
        <v>84578</v>
      </c>
      <c r="T144" s="752"/>
    </row>
    <row r="145" spans="1:20" s="840" customFormat="1">
      <c r="A145" s="1056"/>
      <c r="B145" s="770" t="s">
        <v>142</v>
      </c>
      <c r="C145" s="782">
        <f t="shared" ref="C145:N145" si="518">C51+C81+C112</f>
        <v>20681</v>
      </c>
      <c r="D145" s="782">
        <f t="shared" si="518"/>
        <v>21662</v>
      </c>
      <c r="E145" s="782">
        <f t="shared" si="518"/>
        <v>17104</v>
      </c>
      <c r="F145" s="782">
        <f t="shared" si="518"/>
        <v>19994</v>
      </c>
      <c r="G145" s="782">
        <f t="shared" si="518"/>
        <v>18550</v>
      </c>
      <c r="H145" s="782">
        <f t="shared" si="518"/>
        <v>17938</v>
      </c>
      <c r="I145" s="782">
        <f t="shared" si="518"/>
        <v>0</v>
      </c>
      <c r="J145" s="782">
        <f t="shared" si="518"/>
        <v>0</v>
      </c>
      <c r="K145" s="782">
        <f t="shared" si="518"/>
        <v>0</v>
      </c>
      <c r="L145" s="782">
        <f t="shared" si="518"/>
        <v>0</v>
      </c>
      <c r="M145" s="782">
        <f t="shared" si="518"/>
        <v>0</v>
      </c>
      <c r="N145" s="782">
        <f t="shared" si="518"/>
        <v>0</v>
      </c>
      <c r="O145" s="758">
        <f t="shared" si="513"/>
        <v>59447</v>
      </c>
      <c r="P145" s="758">
        <f t="shared" si="514"/>
        <v>56482</v>
      </c>
      <c r="Q145" s="758">
        <f t="shared" si="515"/>
        <v>0</v>
      </c>
      <c r="R145" s="758">
        <f t="shared" si="516"/>
        <v>0</v>
      </c>
      <c r="S145" s="772">
        <f t="shared" si="517"/>
        <v>115929</v>
      </c>
      <c r="T145" s="752"/>
    </row>
    <row r="146" spans="1:20" s="840" customFormat="1">
      <c r="A146" s="1056"/>
      <c r="B146" s="770" t="s">
        <v>136</v>
      </c>
      <c r="C146" s="782">
        <f t="shared" ref="C146:N146" si="519">C52+C82+C113</f>
        <v>5837</v>
      </c>
      <c r="D146" s="782">
        <f t="shared" si="519"/>
        <v>5571</v>
      </c>
      <c r="E146" s="782">
        <f t="shared" si="519"/>
        <v>6028</v>
      </c>
      <c r="F146" s="782">
        <f t="shared" si="519"/>
        <v>6816</v>
      </c>
      <c r="G146" s="782">
        <f t="shared" si="519"/>
        <v>5655</v>
      </c>
      <c r="H146" s="782">
        <f t="shared" si="519"/>
        <v>5703</v>
      </c>
      <c r="I146" s="782">
        <f t="shared" si="519"/>
        <v>0</v>
      </c>
      <c r="J146" s="782">
        <f t="shared" si="519"/>
        <v>0</v>
      </c>
      <c r="K146" s="782">
        <f t="shared" si="519"/>
        <v>0</v>
      </c>
      <c r="L146" s="782">
        <f t="shared" si="519"/>
        <v>0</v>
      </c>
      <c r="M146" s="782">
        <f t="shared" si="519"/>
        <v>0</v>
      </c>
      <c r="N146" s="782">
        <f t="shared" si="519"/>
        <v>0</v>
      </c>
      <c r="O146" s="758">
        <f t="shared" si="513"/>
        <v>17436</v>
      </c>
      <c r="P146" s="758">
        <f t="shared" si="514"/>
        <v>18174</v>
      </c>
      <c r="Q146" s="758">
        <f t="shared" si="515"/>
        <v>0</v>
      </c>
      <c r="R146" s="758">
        <f t="shared" si="516"/>
        <v>0</v>
      </c>
      <c r="S146" s="772">
        <f t="shared" si="517"/>
        <v>35610</v>
      </c>
      <c r="T146" s="752"/>
    </row>
    <row r="147" spans="1:20" s="840" customFormat="1" ht="14.4" thickBot="1">
      <c r="A147" s="1057"/>
      <c r="B147" s="773" t="s">
        <v>241</v>
      </c>
      <c r="C147" s="774">
        <f>SUM(C144:C146)</f>
        <v>41251</v>
      </c>
      <c r="D147" s="774">
        <f t="shared" ref="D147:N147" si="520">SUM(D144:D146)</f>
        <v>43227</v>
      </c>
      <c r="E147" s="774">
        <f t="shared" si="520"/>
        <v>37338</v>
      </c>
      <c r="F147" s="774">
        <f t="shared" si="520"/>
        <v>42348</v>
      </c>
      <c r="G147" s="774">
        <f t="shared" si="520"/>
        <v>37595</v>
      </c>
      <c r="H147" s="774">
        <f t="shared" si="520"/>
        <v>34358</v>
      </c>
      <c r="I147" s="774">
        <f t="shared" si="520"/>
        <v>0</v>
      </c>
      <c r="J147" s="774">
        <f t="shared" si="520"/>
        <v>0</v>
      </c>
      <c r="K147" s="774">
        <f t="shared" si="520"/>
        <v>0</v>
      </c>
      <c r="L147" s="774">
        <f t="shared" si="520"/>
        <v>0</v>
      </c>
      <c r="M147" s="774">
        <f t="shared" si="520"/>
        <v>0</v>
      </c>
      <c r="N147" s="774">
        <f t="shared" si="520"/>
        <v>0</v>
      </c>
      <c r="O147" s="775">
        <f t="shared" ref="O147" si="521">SUM(O144:O146)</f>
        <v>121816</v>
      </c>
      <c r="P147" s="775">
        <f t="shared" ref="P147" si="522">SUM(P144:P146)</f>
        <v>114301</v>
      </c>
      <c r="Q147" s="775">
        <f t="shared" ref="Q147" si="523">SUM(Q144:Q146)</f>
        <v>0</v>
      </c>
      <c r="R147" s="775">
        <f t="shared" ref="R147" si="524">SUM(R144:R146)</f>
        <v>0</v>
      </c>
      <c r="S147" s="776">
        <f t="shared" ref="S147" si="525">SUM(S144:S146)</f>
        <v>236117</v>
      </c>
      <c r="T147" s="792">
        <f>IFERROR(S147/$S$124,0)</f>
        <v>1513.5705128205129</v>
      </c>
    </row>
    <row r="148" spans="1:20" s="840" customFormat="1">
      <c r="A148" s="1049" t="s">
        <v>260</v>
      </c>
      <c r="B148" s="765" t="s">
        <v>141</v>
      </c>
      <c r="C148" s="781">
        <f t="shared" ref="C148:N148" si="526">C54+C84+C115</f>
        <v>1270</v>
      </c>
      <c r="D148" s="781">
        <f t="shared" si="526"/>
        <v>1349</v>
      </c>
      <c r="E148" s="781">
        <f t="shared" si="526"/>
        <v>1192</v>
      </c>
      <c r="F148" s="781">
        <f t="shared" si="526"/>
        <v>1309</v>
      </c>
      <c r="G148" s="781">
        <f t="shared" si="526"/>
        <v>1103</v>
      </c>
      <c r="H148" s="781">
        <f t="shared" si="526"/>
        <v>895</v>
      </c>
      <c r="I148" s="781">
        <f t="shared" si="526"/>
        <v>0</v>
      </c>
      <c r="J148" s="781">
        <f t="shared" si="526"/>
        <v>0</v>
      </c>
      <c r="K148" s="781">
        <f t="shared" si="526"/>
        <v>0</v>
      </c>
      <c r="L148" s="781">
        <f t="shared" si="526"/>
        <v>0</v>
      </c>
      <c r="M148" s="781">
        <f t="shared" si="526"/>
        <v>0</v>
      </c>
      <c r="N148" s="781">
        <f t="shared" si="526"/>
        <v>0</v>
      </c>
      <c r="O148" s="766">
        <f t="shared" ref="O148:O150" si="527">C148+D148+E148</f>
        <v>3811</v>
      </c>
      <c r="P148" s="766">
        <f t="shared" ref="P148:P150" si="528">F148+G148+H148</f>
        <v>3307</v>
      </c>
      <c r="Q148" s="766">
        <f t="shared" ref="Q148:Q150" si="529">I148+J148+K148</f>
        <v>0</v>
      </c>
      <c r="R148" s="766">
        <f t="shared" ref="R148:R150" si="530">L148+M148+N148</f>
        <v>0</v>
      </c>
      <c r="S148" s="768">
        <f t="shared" ref="S148:S150" si="531">SUM(C148:N148)</f>
        <v>7118</v>
      </c>
      <c r="T148" s="752"/>
    </row>
    <row r="149" spans="1:20" s="840" customFormat="1">
      <c r="A149" s="1050"/>
      <c r="B149" s="770" t="s">
        <v>142</v>
      </c>
      <c r="C149" s="782">
        <f t="shared" ref="C149:N149" si="532">C55+C85+C116</f>
        <v>1383</v>
      </c>
      <c r="D149" s="782">
        <f t="shared" si="532"/>
        <v>1437</v>
      </c>
      <c r="E149" s="782">
        <f t="shared" si="532"/>
        <v>1098</v>
      </c>
      <c r="F149" s="782">
        <f t="shared" si="532"/>
        <v>1303</v>
      </c>
      <c r="G149" s="782">
        <f t="shared" si="532"/>
        <v>1245</v>
      </c>
      <c r="H149" s="782">
        <f t="shared" si="532"/>
        <v>1182</v>
      </c>
      <c r="I149" s="782">
        <f t="shared" si="532"/>
        <v>0</v>
      </c>
      <c r="J149" s="782">
        <f t="shared" si="532"/>
        <v>0</v>
      </c>
      <c r="K149" s="782">
        <f t="shared" si="532"/>
        <v>0</v>
      </c>
      <c r="L149" s="782">
        <f t="shared" si="532"/>
        <v>0</v>
      </c>
      <c r="M149" s="782">
        <f t="shared" si="532"/>
        <v>0</v>
      </c>
      <c r="N149" s="782">
        <f t="shared" si="532"/>
        <v>0</v>
      </c>
      <c r="O149" s="758">
        <f t="shared" si="527"/>
        <v>3918</v>
      </c>
      <c r="P149" s="758">
        <f t="shared" si="528"/>
        <v>3730</v>
      </c>
      <c r="Q149" s="758">
        <f t="shared" si="529"/>
        <v>0</v>
      </c>
      <c r="R149" s="758">
        <f t="shared" si="530"/>
        <v>0</v>
      </c>
      <c r="S149" s="772">
        <f t="shared" si="531"/>
        <v>7648</v>
      </c>
      <c r="T149" s="752"/>
    </row>
    <row r="150" spans="1:20" s="840" customFormat="1">
      <c r="A150" s="1050"/>
      <c r="B150" s="770" t="s">
        <v>136</v>
      </c>
      <c r="C150" s="782">
        <f t="shared" ref="C150:N150" si="533">C56+C86+C117</f>
        <v>537</v>
      </c>
      <c r="D150" s="782">
        <f t="shared" si="533"/>
        <v>518</v>
      </c>
      <c r="E150" s="782">
        <f t="shared" si="533"/>
        <v>538</v>
      </c>
      <c r="F150" s="782">
        <f t="shared" si="533"/>
        <v>604</v>
      </c>
      <c r="G150" s="782">
        <f t="shared" si="533"/>
        <v>505</v>
      </c>
      <c r="H150" s="782">
        <f t="shared" si="533"/>
        <v>463</v>
      </c>
      <c r="I150" s="782">
        <f t="shared" si="533"/>
        <v>0</v>
      </c>
      <c r="J150" s="782">
        <f t="shared" si="533"/>
        <v>0</v>
      </c>
      <c r="K150" s="782">
        <f t="shared" si="533"/>
        <v>0</v>
      </c>
      <c r="L150" s="782">
        <f t="shared" si="533"/>
        <v>0</v>
      </c>
      <c r="M150" s="782">
        <f t="shared" si="533"/>
        <v>0</v>
      </c>
      <c r="N150" s="782">
        <f t="shared" si="533"/>
        <v>0</v>
      </c>
      <c r="O150" s="758">
        <f t="shared" si="527"/>
        <v>1593</v>
      </c>
      <c r="P150" s="758">
        <f t="shared" si="528"/>
        <v>1572</v>
      </c>
      <c r="Q150" s="758">
        <f t="shared" si="529"/>
        <v>0</v>
      </c>
      <c r="R150" s="758">
        <f t="shared" si="530"/>
        <v>0</v>
      </c>
      <c r="S150" s="772">
        <f t="shared" si="531"/>
        <v>3165</v>
      </c>
      <c r="T150" s="752"/>
    </row>
    <row r="151" spans="1:20" s="840" customFormat="1" ht="14.4" thickBot="1">
      <c r="A151" s="1051"/>
      <c r="B151" s="838" t="s">
        <v>267</v>
      </c>
      <c r="C151" s="778">
        <f>SUM(C148:C150)</f>
        <v>3190</v>
      </c>
      <c r="D151" s="778">
        <f t="shared" ref="D151:N151" si="534">SUM(D148:D150)</f>
        <v>3304</v>
      </c>
      <c r="E151" s="778">
        <f t="shared" si="534"/>
        <v>2828</v>
      </c>
      <c r="F151" s="778">
        <f t="shared" si="534"/>
        <v>3216</v>
      </c>
      <c r="G151" s="778">
        <f t="shared" si="534"/>
        <v>2853</v>
      </c>
      <c r="H151" s="778">
        <f t="shared" si="534"/>
        <v>2540</v>
      </c>
      <c r="I151" s="778">
        <f t="shared" si="534"/>
        <v>0</v>
      </c>
      <c r="J151" s="778">
        <f t="shared" si="534"/>
        <v>0</v>
      </c>
      <c r="K151" s="778">
        <f t="shared" si="534"/>
        <v>0</v>
      </c>
      <c r="L151" s="778">
        <f t="shared" si="534"/>
        <v>0</v>
      </c>
      <c r="M151" s="778">
        <f t="shared" si="534"/>
        <v>0</v>
      </c>
      <c r="N151" s="778">
        <f t="shared" si="534"/>
        <v>0</v>
      </c>
      <c r="O151" s="779">
        <f t="shared" ref="O151" si="535">SUM(O148:O150)</f>
        <v>9322</v>
      </c>
      <c r="P151" s="779">
        <f t="shared" ref="P151" si="536">SUM(P148:P150)</f>
        <v>8609</v>
      </c>
      <c r="Q151" s="779">
        <f t="shared" ref="Q151" si="537">SUM(Q148:Q150)</f>
        <v>0</v>
      </c>
      <c r="R151" s="779">
        <f t="shared" ref="R151" si="538">SUM(R148:R150)</f>
        <v>0</v>
      </c>
      <c r="S151" s="780">
        <f t="shared" ref="S151" si="539">SUM(S148:S150)</f>
        <v>17931</v>
      </c>
      <c r="T151" s="792">
        <f>IFERROR(S151/$S$124,0)</f>
        <v>114.94230769230769</v>
      </c>
    </row>
    <row r="152" spans="1:20" s="840" customFormat="1">
      <c r="A152" s="1052" t="s">
        <v>268</v>
      </c>
      <c r="B152" s="793" t="s">
        <v>250</v>
      </c>
      <c r="C152" s="794">
        <f t="shared" ref="C152:N152" si="540">C131-C139</f>
        <v>96.25</v>
      </c>
      <c r="D152" s="794">
        <f t="shared" si="540"/>
        <v>100.15999999999997</v>
      </c>
      <c r="E152" s="794">
        <f t="shared" si="540"/>
        <v>89.789999999999964</v>
      </c>
      <c r="F152" s="794">
        <f t="shared" si="540"/>
        <v>102.62</v>
      </c>
      <c r="G152" s="794">
        <f t="shared" si="540"/>
        <v>94.279999999999973</v>
      </c>
      <c r="H152" s="794">
        <f t="shared" si="540"/>
        <v>100.60000000000002</v>
      </c>
      <c r="I152" s="794">
        <f t="shared" si="540"/>
        <v>0</v>
      </c>
      <c r="J152" s="794">
        <f t="shared" si="540"/>
        <v>0</v>
      </c>
      <c r="K152" s="794">
        <f t="shared" si="540"/>
        <v>0</v>
      </c>
      <c r="L152" s="794">
        <f t="shared" si="540"/>
        <v>0</v>
      </c>
      <c r="M152" s="794">
        <f t="shared" si="540"/>
        <v>0</v>
      </c>
      <c r="N152" s="794">
        <f t="shared" si="540"/>
        <v>0</v>
      </c>
      <c r="O152" s="794">
        <f>C152+D152+E152</f>
        <v>286.19999999999993</v>
      </c>
      <c r="P152" s="794">
        <f>F152+G152+H152</f>
        <v>297.5</v>
      </c>
      <c r="Q152" s="794">
        <f>I152+J152+K152</f>
        <v>0</v>
      </c>
      <c r="R152" s="794">
        <f>L152+M152+N152</f>
        <v>0</v>
      </c>
      <c r="S152" s="794">
        <f t="shared" ref="S152" si="541">SUM(C152:N152)</f>
        <v>583.69999999999993</v>
      </c>
      <c r="T152" s="795">
        <f>T131-T139</f>
        <v>3.7416666666666671</v>
      </c>
    </row>
    <row r="153" spans="1:20" s="840" customFormat="1">
      <c r="A153" s="1053"/>
      <c r="B153" s="793" t="s">
        <v>247</v>
      </c>
      <c r="C153" s="794">
        <f t="shared" ref="C153:T153" si="542">C135-C143</f>
        <v>3076</v>
      </c>
      <c r="D153" s="794">
        <f t="shared" si="542"/>
        <v>2995</v>
      </c>
      <c r="E153" s="794">
        <f t="shared" si="542"/>
        <v>2751</v>
      </c>
      <c r="F153" s="794">
        <f t="shared" si="542"/>
        <v>2898</v>
      </c>
      <c r="G153" s="794">
        <f t="shared" si="542"/>
        <v>2463</v>
      </c>
      <c r="H153" s="794">
        <f t="shared" si="542"/>
        <v>2634</v>
      </c>
      <c r="I153" s="794">
        <f t="shared" si="542"/>
        <v>0</v>
      </c>
      <c r="J153" s="794">
        <f t="shared" si="542"/>
        <v>0</v>
      </c>
      <c r="K153" s="794">
        <f t="shared" si="542"/>
        <v>0</v>
      </c>
      <c r="L153" s="794">
        <f t="shared" si="542"/>
        <v>0</v>
      </c>
      <c r="M153" s="794">
        <f t="shared" si="542"/>
        <v>0</v>
      </c>
      <c r="N153" s="794">
        <f t="shared" si="542"/>
        <v>0</v>
      </c>
      <c r="O153" s="794">
        <f t="shared" si="542"/>
        <v>8822</v>
      </c>
      <c r="P153" s="794">
        <f t="shared" si="542"/>
        <v>7995</v>
      </c>
      <c r="Q153" s="794">
        <f t="shared" si="542"/>
        <v>0</v>
      </c>
      <c r="R153" s="794">
        <f t="shared" si="542"/>
        <v>0</v>
      </c>
      <c r="S153" s="794">
        <f t="shared" si="542"/>
        <v>16817</v>
      </c>
      <c r="T153" s="795">
        <f t="shared" si="542"/>
        <v>107.80128205128204</v>
      </c>
    </row>
    <row r="154" spans="1:20" s="840" customFormat="1">
      <c r="A154" s="1054"/>
      <c r="B154" s="793" t="s">
        <v>261</v>
      </c>
      <c r="C154" s="808">
        <f t="shared" ref="C154:S154" si="543">IFERROR(C153/C152,0)</f>
        <v>31.95844155844156</v>
      </c>
      <c r="D154" s="808">
        <f t="shared" si="543"/>
        <v>29.902156549520775</v>
      </c>
      <c r="E154" s="808">
        <f t="shared" si="543"/>
        <v>30.638155696625471</v>
      </c>
      <c r="F154" s="808">
        <f t="shared" si="543"/>
        <v>28.240109140518417</v>
      </c>
      <c r="G154" s="808">
        <f t="shared" si="543"/>
        <v>26.12431056427663</v>
      </c>
      <c r="H154" s="808">
        <f t="shared" si="543"/>
        <v>26.182902584493036</v>
      </c>
      <c r="I154" s="808">
        <f t="shared" si="543"/>
        <v>0</v>
      </c>
      <c r="J154" s="808">
        <f t="shared" si="543"/>
        <v>0</v>
      </c>
      <c r="K154" s="808">
        <f t="shared" si="543"/>
        <v>0</v>
      </c>
      <c r="L154" s="808">
        <f t="shared" si="543"/>
        <v>0</v>
      </c>
      <c r="M154" s="808">
        <f t="shared" si="543"/>
        <v>0</v>
      </c>
      <c r="N154" s="808">
        <f t="shared" si="543"/>
        <v>0</v>
      </c>
      <c r="O154" s="808">
        <f t="shared" si="543"/>
        <v>30.824598183088757</v>
      </c>
      <c r="P154" s="808">
        <f t="shared" si="543"/>
        <v>26.873949579831933</v>
      </c>
      <c r="Q154" s="808">
        <f t="shared" si="543"/>
        <v>0</v>
      </c>
      <c r="R154" s="808">
        <f t="shared" si="543"/>
        <v>0</v>
      </c>
      <c r="S154" s="808">
        <f t="shared" si="543"/>
        <v>28.811033064930619</v>
      </c>
      <c r="T154" s="809">
        <f>IFERROR(T153/T152,0)</f>
        <v>28.811033064930609</v>
      </c>
    </row>
    <row r="155" spans="1:20">
      <c r="T155" s="848"/>
    </row>
    <row r="156" spans="1:20" ht="21.6" thickBot="1">
      <c r="A156" s="725" t="s">
        <v>190</v>
      </c>
      <c r="B156" s="725" t="s">
        <v>486</v>
      </c>
      <c r="C156" s="895" t="s">
        <v>8</v>
      </c>
      <c r="D156" s="895" t="s">
        <v>78</v>
      </c>
      <c r="E156" s="895" t="s">
        <v>79</v>
      </c>
      <c r="F156" s="895" t="s">
        <v>80</v>
      </c>
      <c r="G156" s="895" t="s">
        <v>81</v>
      </c>
      <c r="H156" s="895" t="s">
        <v>82</v>
      </c>
      <c r="I156" s="895" t="s">
        <v>83</v>
      </c>
      <c r="J156" s="895" t="s">
        <v>84</v>
      </c>
      <c r="K156" s="895" t="s">
        <v>85</v>
      </c>
      <c r="L156" s="895" t="s">
        <v>4</v>
      </c>
      <c r="M156" s="895" t="s">
        <v>5</v>
      </c>
      <c r="N156" s="895" t="s">
        <v>6</v>
      </c>
      <c r="O156" s="896" t="s">
        <v>110</v>
      </c>
      <c r="P156" s="896" t="s">
        <v>111</v>
      </c>
      <c r="Q156" s="896" t="s">
        <v>112</v>
      </c>
      <c r="R156" s="896" t="s">
        <v>113</v>
      </c>
      <c r="S156" s="896" t="s">
        <v>114</v>
      </c>
      <c r="T156" s="896" t="s">
        <v>243</v>
      </c>
    </row>
    <row r="157" spans="1:20" ht="14.4">
      <c r="A157" s="1075" t="s">
        <v>387</v>
      </c>
      <c r="B157" s="749" t="s">
        <v>187</v>
      </c>
      <c r="C157" s="750">
        <v>26</v>
      </c>
      <c r="D157" s="750">
        <v>27</v>
      </c>
      <c r="E157" s="750">
        <v>25</v>
      </c>
      <c r="F157" s="750">
        <v>27</v>
      </c>
      <c r="G157" s="750">
        <v>25</v>
      </c>
      <c r="H157" s="750">
        <v>24</v>
      </c>
      <c r="I157" s="750">
        <v>27</v>
      </c>
      <c r="J157" s="750">
        <v>24</v>
      </c>
      <c r="K157" s="750">
        <v>26</v>
      </c>
      <c r="L157" s="750">
        <v>26</v>
      </c>
      <c r="M157" s="750">
        <v>27</v>
      </c>
      <c r="N157" s="750">
        <v>25</v>
      </c>
      <c r="O157" s="750">
        <v>78</v>
      </c>
      <c r="P157" s="750">
        <v>76</v>
      </c>
      <c r="Q157" s="750">
        <v>77</v>
      </c>
      <c r="R157" s="750">
        <v>78</v>
      </c>
      <c r="S157" s="751">
        <v>309</v>
      </c>
      <c r="T157" s="752"/>
    </row>
    <row r="158" spans="1:20">
      <c r="A158" s="1076"/>
      <c r="B158" s="753" t="s">
        <v>336</v>
      </c>
      <c r="C158" s="754">
        <v>3</v>
      </c>
      <c r="D158" s="754">
        <v>3</v>
      </c>
      <c r="E158" s="754">
        <v>3</v>
      </c>
      <c r="F158" s="754">
        <v>3</v>
      </c>
      <c r="G158" s="754">
        <v>3</v>
      </c>
      <c r="H158" s="754">
        <v>3</v>
      </c>
      <c r="I158" s="754">
        <v>3</v>
      </c>
      <c r="J158" s="754">
        <v>3</v>
      </c>
      <c r="K158" s="754">
        <v>3</v>
      </c>
      <c r="L158" s="754">
        <v>3</v>
      </c>
      <c r="M158" s="754">
        <v>3</v>
      </c>
      <c r="N158" s="754">
        <v>3</v>
      </c>
      <c r="O158" s="755">
        <v>3</v>
      </c>
      <c r="P158" s="755">
        <v>3</v>
      </c>
      <c r="Q158" s="755">
        <v>3</v>
      </c>
      <c r="R158" s="755">
        <v>3</v>
      </c>
      <c r="S158" s="756">
        <v>3</v>
      </c>
      <c r="T158" s="752"/>
    </row>
    <row r="159" spans="1:20">
      <c r="A159" s="1076"/>
      <c r="B159" s="757" t="s">
        <v>337</v>
      </c>
      <c r="C159" s="758">
        <v>5</v>
      </c>
      <c r="D159" s="758">
        <v>5</v>
      </c>
      <c r="E159" s="758">
        <v>5</v>
      </c>
      <c r="F159" s="758">
        <v>5</v>
      </c>
      <c r="G159" s="758">
        <v>5</v>
      </c>
      <c r="H159" s="758">
        <v>5</v>
      </c>
      <c r="I159" s="758">
        <v>5</v>
      </c>
      <c r="J159" s="758">
        <v>5</v>
      </c>
      <c r="K159" s="758">
        <v>5</v>
      </c>
      <c r="L159" s="758">
        <v>5</v>
      </c>
      <c r="M159" s="758">
        <v>5</v>
      </c>
      <c r="N159" s="758">
        <v>5</v>
      </c>
      <c r="O159" s="759">
        <v>5</v>
      </c>
      <c r="P159" s="759">
        <v>5</v>
      </c>
      <c r="Q159" s="759">
        <v>5</v>
      </c>
      <c r="R159" s="759">
        <v>5</v>
      </c>
      <c r="S159" s="760">
        <v>5</v>
      </c>
      <c r="T159" s="752"/>
    </row>
    <row r="160" spans="1:20" ht="14.4" thickBot="1">
      <c r="A160" s="1077"/>
      <c r="B160" s="761" t="s">
        <v>244</v>
      </c>
      <c r="C160" s="762">
        <v>3</v>
      </c>
      <c r="D160" s="762">
        <v>3</v>
      </c>
      <c r="E160" s="762">
        <v>3</v>
      </c>
      <c r="F160" s="762">
        <v>3</v>
      </c>
      <c r="G160" s="762">
        <v>3</v>
      </c>
      <c r="H160" s="762">
        <v>3</v>
      </c>
      <c r="I160" s="762">
        <v>3</v>
      </c>
      <c r="J160" s="762">
        <v>3</v>
      </c>
      <c r="K160" s="762">
        <v>3</v>
      </c>
      <c r="L160" s="762">
        <v>3</v>
      </c>
      <c r="M160" s="762">
        <v>3</v>
      </c>
      <c r="N160" s="762">
        <v>3</v>
      </c>
      <c r="O160" s="763">
        <v>3</v>
      </c>
      <c r="P160" s="763">
        <v>3</v>
      </c>
      <c r="Q160" s="763">
        <v>3</v>
      </c>
      <c r="R160" s="763">
        <v>3</v>
      </c>
      <c r="S160" s="764">
        <v>3</v>
      </c>
      <c r="T160" s="752"/>
    </row>
    <row r="161" spans="1:20">
      <c r="A161" s="1065" t="s">
        <v>248</v>
      </c>
      <c r="B161" s="765" t="s">
        <v>141</v>
      </c>
      <c r="C161" s="766">
        <v>256.37</v>
      </c>
      <c r="D161" s="766">
        <v>278.58</v>
      </c>
      <c r="E161" s="766">
        <v>248.65</v>
      </c>
      <c r="F161" s="766">
        <v>275.89999999999998</v>
      </c>
      <c r="G161" s="766">
        <v>251.23</v>
      </c>
      <c r="H161" s="766">
        <v>238.23</v>
      </c>
      <c r="I161" s="766">
        <v>252.37</v>
      </c>
      <c r="J161" s="766">
        <v>243.93</v>
      </c>
      <c r="K161" s="766">
        <v>265.85000000000002</v>
      </c>
      <c r="L161" s="766">
        <v>254.53</v>
      </c>
      <c r="M161" s="766">
        <v>262.8</v>
      </c>
      <c r="N161" s="766">
        <v>257.08</v>
      </c>
      <c r="O161" s="767">
        <v>783.6</v>
      </c>
      <c r="P161" s="767">
        <v>765.36</v>
      </c>
      <c r="Q161" s="767">
        <v>762.15000000000009</v>
      </c>
      <c r="R161" s="767">
        <v>774.41000000000008</v>
      </c>
      <c r="S161" s="768">
        <v>3085.5200000000004</v>
      </c>
      <c r="T161" s="769"/>
    </row>
    <row r="162" spans="1:20">
      <c r="A162" s="1066"/>
      <c r="B162" s="770" t="s">
        <v>142</v>
      </c>
      <c r="C162" s="758">
        <v>258.08</v>
      </c>
      <c r="D162" s="758">
        <v>281.39999999999998</v>
      </c>
      <c r="E162" s="758">
        <v>235.02</v>
      </c>
      <c r="F162" s="758">
        <v>281.08</v>
      </c>
      <c r="G162" s="758">
        <v>254.42</v>
      </c>
      <c r="H162" s="758">
        <v>228.52</v>
      </c>
      <c r="I162" s="758">
        <v>262.43</v>
      </c>
      <c r="J162" s="758">
        <v>249.77</v>
      </c>
      <c r="K162" s="758">
        <v>262.2</v>
      </c>
      <c r="L162" s="758">
        <v>258.32</v>
      </c>
      <c r="M162" s="758">
        <v>272.8</v>
      </c>
      <c r="N162" s="758">
        <v>254.15</v>
      </c>
      <c r="O162" s="771">
        <v>774.5</v>
      </c>
      <c r="P162" s="771">
        <v>764.02</v>
      </c>
      <c r="Q162" s="771">
        <v>774.40000000000009</v>
      </c>
      <c r="R162" s="771">
        <v>785.27</v>
      </c>
      <c r="S162" s="772">
        <v>3098.1900000000005</v>
      </c>
      <c r="T162" s="769"/>
    </row>
    <row r="163" spans="1:20">
      <c r="A163" s="1066"/>
      <c r="B163" s="770" t="s">
        <v>136</v>
      </c>
      <c r="C163" s="758">
        <v>203.05</v>
      </c>
      <c r="D163" s="758">
        <v>237.77</v>
      </c>
      <c r="E163" s="758">
        <v>184.7</v>
      </c>
      <c r="F163" s="758">
        <v>224.5</v>
      </c>
      <c r="G163" s="758">
        <v>201.5</v>
      </c>
      <c r="H163" s="758">
        <v>184.08</v>
      </c>
      <c r="I163" s="758">
        <v>204.73</v>
      </c>
      <c r="J163" s="758">
        <v>193.68</v>
      </c>
      <c r="K163" s="758">
        <v>203.8</v>
      </c>
      <c r="L163" s="758">
        <v>204.05</v>
      </c>
      <c r="M163" s="758">
        <v>215.35</v>
      </c>
      <c r="N163" s="758">
        <v>195.5</v>
      </c>
      <c r="O163" s="771">
        <v>625.52</v>
      </c>
      <c r="P163" s="771">
        <v>610.08000000000004</v>
      </c>
      <c r="Q163" s="771">
        <v>602.21</v>
      </c>
      <c r="R163" s="771">
        <v>614.9</v>
      </c>
      <c r="S163" s="772">
        <v>2452.71</v>
      </c>
      <c r="T163" s="769"/>
    </row>
    <row r="164" spans="1:20" ht="14.4" thickBot="1">
      <c r="A164" s="1067"/>
      <c r="B164" s="773" t="s">
        <v>45</v>
      </c>
      <c r="C164" s="774">
        <v>717.5</v>
      </c>
      <c r="D164" s="775">
        <v>797.75</v>
      </c>
      <c r="E164" s="775">
        <v>668.37</v>
      </c>
      <c r="F164" s="775">
        <v>781.48</v>
      </c>
      <c r="G164" s="775">
        <v>707.15</v>
      </c>
      <c r="H164" s="775">
        <v>650.83000000000004</v>
      </c>
      <c r="I164" s="775">
        <v>719.53</v>
      </c>
      <c r="J164" s="775">
        <v>687.38000000000011</v>
      </c>
      <c r="K164" s="775">
        <v>731.84999999999991</v>
      </c>
      <c r="L164" s="775">
        <v>716.90000000000009</v>
      </c>
      <c r="M164" s="775">
        <v>750.95</v>
      </c>
      <c r="N164" s="775">
        <v>706.73</v>
      </c>
      <c r="O164" s="775">
        <v>2183.62</v>
      </c>
      <c r="P164" s="775">
        <v>2139.46</v>
      </c>
      <c r="Q164" s="775">
        <v>2138.7600000000002</v>
      </c>
      <c r="R164" s="775">
        <v>2174.58</v>
      </c>
      <c r="S164" s="776">
        <v>8636.4200000000019</v>
      </c>
      <c r="T164" s="769"/>
    </row>
    <row r="165" spans="1:20">
      <c r="A165" s="1065" t="s">
        <v>245</v>
      </c>
      <c r="B165" s="765" t="s">
        <v>141</v>
      </c>
      <c r="C165" s="766">
        <v>5634</v>
      </c>
      <c r="D165" s="766">
        <v>6111</v>
      </c>
      <c r="E165" s="766">
        <v>5398</v>
      </c>
      <c r="F165" s="766">
        <v>5865</v>
      </c>
      <c r="G165" s="766">
        <v>5483</v>
      </c>
      <c r="H165" s="766">
        <v>5181</v>
      </c>
      <c r="I165" s="766">
        <v>5455</v>
      </c>
      <c r="J165" s="766">
        <v>5308</v>
      </c>
      <c r="K165" s="766">
        <v>5789</v>
      </c>
      <c r="L165" s="766">
        <v>5436</v>
      </c>
      <c r="M165" s="766">
        <v>5608</v>
      </c>
      <c r="N165" s="766">
        <v>5507</v>
      </c>
      <c r="O165" s="767">
        <v>17143</v>
      </c>
      <c r="P165" s="767">
        <v>16529</v>
      </c>
      <c r="Q165" s="767">
        <v>16552</v>
      </c>
      <c r="R165" s="767">
        <v>16551</v>
      </c>
      <c r="S165" s="768">
        <v>66775</v>
      </c>
      <c r="T165" s="769"/>
    </row>
    <row r="166" spans="1:20">
      <c r="A166" s="1066"/>
      <c r="B166" s="770" t="s">
        <v>142</v>
      </c>
      <c r="C166" s="758">
        <v>4986</v>
      </c>
      <c r="D166" s="758">
        <v>5369</v>
      </c>
      <c r="E166" s="758">
        <v>4623</v>
      </c>
      <c r="F166" s="758">
        <v>5499</v>
      </c>
      <c r="G166" s="758">
        <v>5062</v>
      </c>
      <c r="H166" s="758">
        <v>4492</v>
      </c>
      <c r="I166" s="758">
        <v>5311</v>
      </c>
      <c r="J166" s="758">
        <v>5004</v>
      </c>
      <c r="K166" s="758">
        <v>5271</v>
      </c>
      <c r="L166" s="758">
        <v>5132</v>
      </c>
      <c r="M166" s="758">
        <v>5482</v>
      </c>
      <c r="N166" s="758">
        <v>5123</v>
      </c>
      <c r="O166" s="771">
        <v>14978</v>
      </c>
      <c r="P166" s="771">
        <v>15053</v>
      </c>
      <c r="Q166" s="771">
        <v>15586</v>
      </c>
      <c r="R166" s="771">
        <v>15737</v>
      </c>
      <c r="S166" s="772">
        <v>61354</v>
      </c>
      <c r="T166" s="769"/>
    </row>
    <row r="167" spans="1:20">
      <c r="A167" s="1066"/>
      <c r="B167" s="770" t="s">
        <v>136</v>
      </c>
      <c r="C167" s="758">
        <v>3632</v>
      </c>
      <c r="D167" s="758">
        <v>3924</v>
      </c>
      <c r="E167" s="758">
        <v>3133</v>
      </c>
      <c r="F167" s="758">
        <v>3769</v>
      </c>
      <c r="G167" s="758">
        <v>3363</v>
      </c>
      <c r="H167" s="758">
        <v>2997</v>
      </c>
      <c r="I167" s="758">
        <v>3277</v>
      </c>
      <c r="J167" s="758">
        <v>3176</v>
      </c>
      <c r="K167" s="758">
        <v>3288</v>
      </c>
      <c r="L167" s="758">
        <v>3322</v>
      </c>
      <c r="M167" s="758">
        <v>3604</v>
      </c>
      <c r="N167" s="758">
        <v>3370</v>
      </c>
      <c r="O167" s="771">
        <v>10689</v>
      </c>
      <c r="P167" s="771">
        <v>10129</v>
      </c>
      <c r="Q167" s="771">
        <v>9741</v>
      </c>
      <c r="R167" s="771">
        <v>10296</v>
      </c>
      <c r="S167" s="772">
        <v>40855</v>
      </c>
      <c r="T167" s="769"/>
    </row>
    <row r="168" spans="1:20" ht="14.4" thickBot="1">
      <c r="A168" s="1067"/>
      <c r="B168" s="773" t="s">
        <v>46</v>
      </c>
      <c r="C168" s="774">
        <v>14252</v>
      </c>
      <c r="D168" s="775">
        <v>15404</v>
      </c>
      <c r="E168" s="775">
        <v>13154</v>
      </c>
      <c r="F168" s="775">
        <v>15133</v>
      </c>
      <c r="G168" s="775">
        <v>13908</v>
      </c>
      <c r="H168" s="775">
        <v>12670</v>
      </c>
      <c r="I168" s="775">
        <v>14043</v>
      </c>
      <c r="J168" s="775">
        <v>13488</v>
      </c>
      <c r="K168" s="775">
        <v>14348</v>
      </c>
      <c r="L168" s="775">
        <v>13890</v>
      </c>
      <c r="M168" s="775">
        <v>14694</v>
      </c>
      <c r="N168" s="775">
        <v>14000</v>
      </c>
      <c r="O168" s="775">
        <v>42810</v>
      </c>
      <c r="P168" s="775">
        <v>41711</v>
      </c>
      <c r="Q168" s="775">
        <v>41879</v>
      </c>
      <c r="R168" s="775">
        <v>42584</v>
      </c>
      <c r="S168" s="776">
        <v>168984</v>
      </c>
      <c r="T168" s="769"/>
    </row>
    <row r="169" spans="1:20">
      <c r="A169" s="1065" t="s">
        <v>249</v>
      </c>
      <c r="B169" s="765" t="s">
        <v>141</v>
      </c>
      <c r="C169" s="766">
        <v>216</v>
      </c>
      <c r="D169" s="766">
        <v>233</v>
      </c>
      <c r="E169" s="766">
        <v>210</v>
      </c>
      <c r="F169" s="766">
        <v>233</v>
      </c>
      <c r="G169" s="766">
        <v>212</v>
      </c>
      <c r="H169" s="766">
        <v>200</v>
      </c>
      <c r="I169" s="766">
        <v>215</v>
      </c>
      <c r="J169" s="766">
        <v>208</v>
      </c>
      <c r="K169" s="766">
        <v>227</v>
      </c>
      <c r="L169" s="766">
        <v>216</v>
      </c>
      <c r="M169" s="766">
        <v>225</v>
      </c>
      <c r="N169" s="766">
        <v>218</v>
      </c>
      <c r="O169" s="767">
        <v>659</v>
      </c>
      <c r="P169" s="767">
        <v>645</v>
      </c>
      <c r="Q169" s="767">
        <v>650</v>
      </c>
      <c r="R169" s="767">
        <v>659</v>
      </c>
      <c r="S169" s="768">
        <v>2613</v>
      </c>
      <c r="T169" s="769"/>
    </row>
    <row r="170" spans="1:20">
      <c r="A170" s="1066"/>
      <c r="B170" s="770" t="s">
        <v>142</v>
      </c>
      <c r="C170" s="758">
        <v>233</v>
      </c>
      <c r="D170" s="758">
        <v>255</v>
      </c>
      <c r="E170" s="758">
        <v>211</v>
      </c>
      <c r="F170" s="758">
        <v>255</v>
      </c>
      <c r="G170" s="758">
        <v>230</v>
      </c>
      <c r="H170" s="758">
        <v>206</v>
      </c>
      <c r="I170" s="758">
        <v>233</v>
      </c>
      <c r="J170" s="758">
        <v>222</v>
      </c>
      <c r="K170" s="758">
        <v>233</v>
      </c>
      <c r="L170" s="758">
        <v>233</v>
      </c>
      <c r="M170" s="758">
        <v>244</v>
      </c>
      <c r="N170" s="758">
        <v>222</v>
      </c>
      <c r="O170" s="771">
        <v>699</v>
      </c>
      <c r="P170" s="771">
        <v>691</v>
      </c>
      <c r="Q170" s="771">
        <v>688</v>
      </c>
      <c r="R170" s="771">
        <v>699</v>
      </c>
      <c r="S170" s="772">
        <v>2777</v>
      </c>
      <c r="T170" s="769"/>
    </row>
    <row r="171" spans="1:20">
      <c r="A171" s="1066"/>
      <c r="B171" s="770" t="s">
        <v>136</v>
      </c>
      <c r="C171" s="758">
        <v>185</v>
      </c>
      <c r="D171" s="758">
        <v>202</v>
      </c>
      <c r="E171" s="758">
        <v>167</v>
      </c>
      <c r="F171" s="758">
        <v>202</v>
      </c>
      <c r="G171" s="758">
        <v>182</v>
      </c>
      <c r="H171" s="758">
        <v>164</v>
      </c>
      <c r="I171" s="758">
        <v>185</v>
      </c>
      <c r="J171" s="758">
        <v>176</v>
      </c>
      <c r="K171" s="758">
        <v>185</v>
      </c>
      <c r="L171" s="758">
        <v>185</v>
      </c>
      <c r="M171" s="758">
        <v>194</v>
      </c>
      <c r="N171" s="758">
        <v>176</v>
      </c>
      <c r="O171" s="771">
        <v>554</v>
      </c>
      <c r="P171" s="771">
        <v>548</v>
      </c>
      <c r="Q171" s="771">
        <v>546</v>
      </c>
      <c r="R171" s="771">
        <v>555</v>
      </c>
      <c r="S171" s="772">
        <v>2203</v>
      </c>
      <c r="T171" s="769"/>
    </row>
    <row r="172" spans="1:20" ht="14.4" thickBot="1">
      <c r="A172" s="1067"/>
      <c r="B172" s="773" t="s">
        <v>109</v>
      </c>
      <c r="C172" s="774">
        <v>634</v>
      </c>
      <c r="D172" s="775">
        <v>690</v>
      </c>
      <c r="E172" s="775">
        <v>588</v>
      </c>
      <c r="F172" s="775">
        <v>690</v>
      </c>
      <c r="G172" s="775">
        <v>624</v>
      </c>
      <c r="H172" s="775">
        <v>570</v>
      </c>
      <c r="I172" s="775">
        <v>633</v>
      </c>
      <c r="J172" s="775">
        <v>606</v>
      </c>
      <c r="K172" s="775">
        <v>645</v>
      </c>
      <c r="L172" s="775">
        <v>634</v>
      </c>
      <c r="M172" s="775">
        <v>663</v>
      </c>
      <c r="N172" s="775">
        <v>616</v>
      </c>
      <c r="O172" s="775">
        <v>1912</v>
      </c>
      <c r="P172" s="775">
        <v>1884</v>
      </c>
      <c r="Q172" s="775">
        <v>1884</v>
      </c>
      <c r="R172" s="775">
        <v>1913</v>
      </c>
      <c r="S172" s="776">
        <v>7593</v>
      </c>
      <c r="T172" s="769"/>
    </row>
    <row r="173" spans="1:20">
      <c r="A173" s="1065" t="s">
        <v>246</v>
      </c>
      <c r="B173" s="765" t="s">
        <v>141</v>
      </c>
      <c r="C173" s="766">
        <v>4025</v>
      </c>
      <c r="D173" s="766">
        <v>4336</v>
      </c>
      <c r="E173" s="766">
        <v>3877</v>
      </c>
      <c r="F173" s="766">
        <v>4203</v>
      </c>
      <c r="G173" s="766">
        <v>3892</v>
      </c>
      <c r="H173" s="766">
        <v>3570</v>
      </c>
      <c r="I173" s="766">
        <v>3923</v>
      </c>
      <c r="J173" s="766">
        <v>3756</v>
      </c>
      <c r="K173" s="766">
        <v>4091</v>
      </c>
      <c r="L173" s="766">
        <v>3874</v>
      </c>
      <c r="M173" s="766">
        <v>4048</v>
      </c>
      <c r="N173" s="766">
        <v>3977</v>
      </c>
      <c r="O173" s="767">
        <v>12238</v>
      </c>
      <c r="P173" s="767">
        <v>11665</v>
      </c>
      <c r="Q173" s="767">
        <v>11770</v>
      </c>
      <c r="R173" s="767">
        <v>11899</v>
      </c>
      <c r="S173" s="768">
        <v>47572</v>
      </c>
      <c r="T173" s="769"/>
    </row>
    <row r="174" spans="1:20">
      <c r="A174" s="1066"/>
      <c r="B174" s="770" t="s">
        <v>142</v>
      </c>
      <c r="C174" s="758">
        <v>4525</v>
      </c>
      <c r="D174" s="758">
        <v>4921</v>
      </c>
      <c r="E174" s="758">
        <v>4157</v>
      </c>
      <c r="F174" s="758">
        <v>5053</v>
      </c>
      <c r="G174" s="758">
        <v>4516</v>
      </c>
      <c r="H174" s="758">
        <v>4046</v>
      </c>
      <c r="I174" s="758">
        <v>4613</v>
      </c>
      <c r="J174" s="758">
        <v>4371</v>
      </c>
      <c r="K174" s="758">
        <v>4552</v>
      </c>
      <c r="L174" s="758">
        <v>4543</v>
      </c>
      <c r="M174" s="758">
        <v>4787</v>
      </c>
      <c r="N174" s="758">
        <v>4394</v>
      </c>
      <c r="O174" s="771">
        <v>13603</v>
      </c>
      <c r="P174" s="771">
        <v>13615</v>
      </c>
      <c r="Q174" s="771">
        <v>13536</v>
      </c>
      <c r="R174" s="771">
        <v>13724</v>
      </c>
      <c r="S174" s="772">
        <v>54478</v>
      </c>
      <c r="T174" s="769"/>
    </row>
    <row r="175" spans="1:20">
      <c r="A175" s="1066"/>
      <c r="B175" s="770" t="s">
        <v>136</v>
      </c>
      <c r="C175" s="758">
        <v>2918</v>
      </c>
      <c r="D175" s="758">
        <v>3220</v>
      </c>
      <c r="E175" s="758">
        <v>2677</v>
      </c>
      <c r="F175" s="758">
        <v>3251</v>
      </c>
      <c r="G175" s="758">
        <v>2963</v>
      </c>
      <c r="H175" s="758">
        <v>2677</v>
      </c>
      <c r="I175" s="758">
        <v>2905</v>
      </c>
      <c r="J175" s="758">
        <v>2784</v>
      </c>
      <c r="K175" s="758">
        <v>2967</v>
      </c>
      <c r="L175" s="758">
        <v>2950</v>
      </c>
      <c r="M175" s="758">
        <v>3170</v>
      </c>
      <c r="N175" s="758">
        <v>2810</v>
      </c>
      <c r="O175" s="771">
        <v>8815</v>
      </c>
      <c r="P175" s="771">
        <v>8891</v>
      </c>
      <c r="Q175" s="771">
        <v>8656</v>
      </c>
      <c r="R175" s="771">
        <v>8930</v>
      </c>
      <c r="S175" s="772">
        <v>35292</v>
      </c>
      <c r="T175" s="769"/>
    </row>
    <row r="176" spans="1:20" ht="14.4" thickBot="1">
      <c r="A176" s="1067"/>
      <c r="B176" s="773" t="s">
        <v>47</v>
      </c>
      <c r="C176" s="774">
        <v>11468</v>
      </c>
      <c r="D176" s="774">
        <v>12477</v>
      </c>
      <c r="E176" s="774">
        <v>10711</v>
      </c>
      <c r="F176" s="774">
        <v>12507</v>
      </c>
      <c r="G176" s="774">
        <v>11371</v>
      </c>
      <c r="H176" s="774">
        <v>10293</v>
      </c>
      <c r="I176" s="774">
        <v>11441</v>
      </c>
      <c r="J176" s="774">
        <v>10911</v>
      </c>
      <c r="K176" s="774">
        <v>11610</v>
      </c>
      <c r="L176" s="774">
        <v>11367</v>
      </c>
      <c r="M176" s="774">
        <v>12005</v>
      </c>
      <c r="N176" s="774">
        <v>11181</v>
      </c>
      <c r="O176" s="775">
        <v>34656</v>
      </c>
      <c r="P176" s="775">
        <v>34171</v>
      </c>
      <c r="Q176" s="775">
        <v>33962</v>
      </c>
      <c r="R176" s="775">
        <v>34553</v>
      </c>
      <c r="S176" s="776">
        <v>137342</v>
      </c>
      <c r="T176" s="769"/>
    </row>
    <row r="177" spans="1:20">
      <c r="A177" s="1049" t="s">
        <v>251</v>
      </c>
      <c r="B177" s="765" t="s">
        <v>141</v>
      </c>
      <c r="C177" s="766">
        <v>10853</v>
      </c>
      <c r="D177" s="766">
        <v>11343</v>
      </c>
      <c r="E177" s="766">
        <v>10219</v>
      </c>
      <c r="F177" s="766">
        <v>12781</v>
      </c>
      <c r="G177" s="766">
        <v>11201</v>
      </c>
      <c r="H177" s="766">
        <v>10027</v>
      </c>
      <c r="I177" s="766">
        <v>13948</v>
      </c>
      <c r="J177" s="766">
        <v>12209</v>
      </c>
      <c r="K177" s="766">
        <v>13758</v>
      </c>
      <c r="L177" s="766">
        <v>13326</v>
      </c>
      <c r="M177" s="766">
        <v>13425</v>
      </c>
      <c r="N177" s="766">
        <v>14631</v>
      </c>
      <c r="O177" s="767">
        <v>32415</v>
      </c>
      <c r="P177" s="767">
        <v>34009</v>
      </c>
      <c r="Q177" s="767">
        <v>39915</v>
      </c>
      <c r="R177" s="767">
        <v>41382</v>
      </c>
      <c r="S177" s="768">
        <v>147721</v>
      </c>
      <c r="T177" s="769"/>
    </row>
    <row r="178" spans="1:20">
      <c r="A178" s="1050"/>
      <c r="B178" s="770" t="s">
        <v>142</v>
      </c>
      <c r="C178" s="758">
        <v>13088</v>
      </c>
      <c r="D178" s="758">
        <v>13701</v>
      </c>
      <c r="E178" s="758">
        <v>13466</v>
      </c>
      <c r="F178" s="758">
        <v>15355</v>
      </c>
      <c r="G178" s="758">
        <v>12345</v>
      </c>
      <c r="H178" s="758">
        <v>10278</v>
      </c>
      <c r="I178" s="758">
        <v>13576</v>
      </c>
      <c r="J178" s="758">
        <v>14885</v>
      </c>
      <c r="K178" s="758">
        <v>14300</v>
      </c>
      <c r="L178" s="758">
        <v>15401</v>
      </c>
      <c r="M178" s="758">
        <v>17239</v>
      </c>
      <c r="N178" s="758">
        <v>15303</v>
      </c>
      <c r="O178" s="771">
        <v>40255</v>
      </c>
      <c r="P178" s="771">
        <v>37978</v>
      </c>
      <c r="Q178" s="771">
        <v>42761</v>
      </c>
      <c r="R178" s="771">
        <v>47943</v>
      </c>
      <c r="S178" s="772">
        <v>168937</v>
      </c>
      <c r="T178" s="769"/>
    </row>
    <row r="179" spans="1:20">
      <c r="A179" s="1050"/>
      <c r="B179" s="770" t="s">
        <v>136</v>
      </c>
      <c r="C179" s="758">
        <v>5571</v>
      </c>
      <c r="D179" s="758">
        <v>6192</v>
      </c>
      <c r="E179" s="758">
        <v>4760</v>
      </c>
      <c r="F179" s="758">
        <v>7433</v>
      </c>
      <c r="G179" s="758">
        <v>6384</v>
      </c>
      <c r="H179" s="758">
        <v>6347</v>
      </c>
      <c r="I179" s="758">
        <v>5284</v>
      </c>
      <c r="J179" s="758">
        <v>5530</v>
      </c>
      <c r="K179" s="758">
        <v>5940</v>
      </c>
      <c r="L179" s="758">
        <v>6916</v>
      </c>
      <c r="M179" s="758">
        <v>7681</v>
      </c>
      <c r="N179" s="758">
        <v>5457</v>
      </c>
      <c r="O179" s="771">
        <v>16523</v>
      </c>
      <c r="P179" s="771">
        <v>20164</v>
      </c>
      <c r="Q179" s="771">
        <v>16754</v>
      </c>
      <c r="R179" s="771">
        <v>20054</v>
      </c>
      <c r="S179" s="772">
        <v>73495</v>
      </c>
      <c r="T179" s="769"/>
    </row>
    <row r="180" spans="1:20" ht="14.4" thickBot="1">
      <c r="A180" s="1051"/>
      <c r="B180" s="777" t="s">
        <v>241</v>
      </c>
      <c r="C180" s="778">
        <v>29512</v>
      </c>
      <c r="D180" s="778">
        <v>31236</v>
      </c>
      <c r="E180" s="778">
        <v>28445</v>
      </c>
      <c r="F180" s="778">
        <v>35569</v>
      </c>
      <c r="G180" s="778">
        <v>29930</v>
      </c>
      <c r="H180" s="778">
        <v>26652</v>
      </c>
      <c r="I180" s="778">
        <v>32808</v>
      </c>
      <c r="J180" s="778">
        <v>32624</v>
      </c>
      <c r="K180" s="778">
        <v>33998</v>
      </c>
      <c r="L180" s="778">
        <v>35643</v>
      </c>
      <c r="M180" s="778">
        <v>38345</v>
      </c>
      <c r="N180" s="778">
        <v>35391</v>
      </c>
      <c r="O180" s="779">
        <v>89193</v>
      </c>
      <c r="P180" s="779">
        <v>92151</v>
      </c>
      <c r="Q180" s="779">
        <v>99430</v>
      </c>
      <c r="R180" s="779">
        <v>109379</v>
      </c>
      <c r="S180" s="780">
        <v>390153</v>
      </c>
      <c r="T180" s="769"/>
    </row>
    <row r="181" spans="1:20">
      <c r="A181" s="1065" t="s">
        <v>260</v>
      </c>
      <c r="B181" s="765" t="s">
        <v>141</v>
      </c>
      <c r="C181" s="781">
        <v>895</v>
      </c>
      <c r="D181" s="781">
        <v>948</v>
      </c>
      <c r="E181" s="781">
        <v>854</v>
      </c>
      <c r="F181" s="781">
        <v>1043</v>
      </c>
      <c r="G181" s="781">
        <v>936</v>
      </c>
      <c r="H181" s="781">
        <v>838</v>
      </c>
      <c r="I181" s="781">
        <v>1166</v>
      </c>
      <c r="J181" s="781">
        <v>1018</v>
      </c>
      <c r="K181" s="781">
        <v>1141</v>
      </c>
      <c r="L181" s="781">
        <v>1098</v>
      </c>
      <c r="M181" s="781">
        <v>1095</v>
      </c>
      <c r="N181" s="781">
        <v>1125</v>
      </c>
      <c r="O181" s="767">
        <v>2697</v>
      </c>
      <c r="P181" s="767">
        <v>2817</v>
      </c>
      <c r="Q181" s="767">
        <v>3325</v>
      </c>
      <c r="R181" s="767">
        <v>3318</v>
      </c>
      <c r="S181" s="768">
        <v>12157</v>
      </c>
      <c r="T181" s="769"/>
    </row>
    <row r="182" spans="1:20">
      <c r="A182" s="1066"/>
      <c r="B182" s="770" t="s">
        <v>142</v>
      </c>
      <c r="C182" s="782">
        <v>879</v>
      </c>
      <c r="D182" s="782">
        <v>931</v>
      </c>
      <c r="E182" s="782">
        <v>782</v>
      </c>
      <c r="F182" s="782">
        <v>942</v>
      </c>
      <c r="G182" s="782">
        <v>826</v>
      </c>
      <c r="H182" s="782">
        <v>675</v>
      </c>
      <c r="I182" s="782">
        <v>886</v>
      </c>
      <c r="J182" s="758">
        <v>997</v>
      </c>
      <c r="K182" s="758">
        <v>983</v>
      </c>
      <c r="L182" s="782">
        <v>1083</v>
      </c>
      <c r="M182" s="782">
        <v>1218</v>
      </c>
      <c r="N182" s="782">
        <v>1053</v>
      </c>
      <c r="O182" s="771">
        <v>2592</v>
      </c>
      <c r="P182" s="771">
        <v>2443</v>
      </c>
      <c r="Q182" s="771">
        <v>2866</v>
      </c>
      <c r="R182" s="771">
        <v>3354</v>
      </c>
      <c r="S182" s="772">
        <v>11255</v>
      </c>
      <c r="T182" s="769"/>
    </row>
    <row r="183" spans="1:20">
      <c r="A183" s="1066"/>
      <c r="B183" s="770" t="s">
        <v>136</v>
      </c>
      <c r="C183" s="782">
        <v>482</v>
      </c>
      <c r="D183" s="782">
        <v>538</v>
      </c>
      <c r="E183" s="782">
        <v>402</v>
      </c>
      <c r="F183" s="782">
        <v>641</v>
      </c>
      <c r="G183" s="782">
        <v>588</v>
      </c>
      <c r="H183" s="782">
        <v>555</v>
      </c>
      <c r="I183" s="782">
        <v>404</v>
      </c>
      <c r="J183" s="758">
        <v>490</v>
      </c>
      <c r="K183" s="758">
        <v>520</v>
      </c>
      <c r="L183" s="782">
        <v>590</v>
      </c>
      <c r="M183" s="782">
        <v>615</v>
      </c>
      <c r="N183" s="782">
        <v>487</v>
      </c>
      <c r="O183" s="771">
        <v>1422</v>
      </c>
      <c r="P183" s="771">
        <v>1784</v>
      </c>
      <c r="Q183" s="771">
        <v>1414</v>
      </c>
      <c r="R183" s="771">
        <v>1692</v>
      </c>
      <c r="S183" s="772">
        <v>6312</v>
      </c>
      <c r="T183" s="769"/>
    </row>
    <row r="184" spans="1:20" ht="14.4" thickBot="1">
      <c r="A184" s="1067"/>
      <c r="B184" s="773" t="s">
        <v>267</v>
      </c>
      <c r="C184" s="774">
        <v>2256</v>
      </c>
      <c r="D184" s="774">
        <v>2417</v>
      </c>
      <c r="E184" s="774">
        <v>2038</v>
      </c>
      <c r="F184" s="774">
        <v>2626</v>
      </c>
      <c r="G184" s="774">
        <v>2350</v>
      </c>
      <c r="H184" s="774">
        <v>2068</v>
      </c>
      <c r="I184" s="774">
        <v>2456</v>
      </c>
      <c r="J184" s="774">
        <v>2505</v>
      </c>
      <c r="K184" s="774">
        <v>2644</v>
      </c>
      <c r="L184" s="774">
        <v>2771</v>
      </c>
      <c r="M184" s="774">
        <v>2928</v>
      </c>
      <c r="N184" s="774">
        <v>2665</v>
      </c>
      <c r="O184" s="774">
        <v>6711</v>
      </c>
      <c r="P184" s="774">
        <v>7044</v>
      </c>
      <c r="Q184" s="774">
        <v>7605</v>
      </c>
      <c r="R184" s="774">
        <v>8364</v>
      </c>
      <c r="S184" s="776">
        <v>29724</v>
      </c>
      <c r="T184" s="769"/>
    </row>
    <row r="185" spans="1:20" ht="6" customHeight="1" thickBot="1">
      <c r="A185" s="784"/>
      <c r="B185" s="784"/>
      <c r="C185" s="784"/>
      <c r="D185" s="784"/>
      <c r="E185" s="784"/>
      <c r="F185" s="784"/>
      <c r="G185" s="784"/>
      <c r="H185" s="784"/>
      <c r="I185" s="784"/>
      <c r="J185" s="784"/>
      <c r="K185" s="784"/>
      <c r="L185" s="784"/>
      <c r="M185" s="784"/>
      <c r="N185" s="784"/>
      <c r="O185" s="784"/>
      <c r="P185" s="784"/>
      <c r="Q185" s="784"/>
      <c r="R185" s="784"/>
      <c r="S185" s="784"/>
      <c r="T185" s="785"/>
    </row>
    <row r="186" spans="1:20" ht="14.4">
      <c r="A186" s="1070" t="s">
        <v>272</v>
      </c>
      <c r="B186" s="749" t="s">
        <v>187</v>
      </c>
      <c r="C186" s="787">
        <v>22</v>
      </c>
      <c r="D186" s="787">
        <v>23</v>
      </c>
      <c r="E186" s="787">
        <v>20</v>
      </c>
      <c r="F186" s="787">
        <v>23</v>
      </c>
      <c r="G186" s="787">
        <v>21</v>
      </c>
      <c r="H186" s="787">
        <v>19</v>
      </c>
      <c r="I186" s="787">
        <v>23</v>
      </c>
      <c r="J186" s="787">
        <v>20</v>
      </c>
      <c r="K186" s="787">
        <v>21</v>
      </c>
      <c r="L186" s="787">
        <v>22</v>
      </c>
      <c r="M186" s="787">
        <v>23</v>
      </c>
      <c r="N186" s="787">
        <v>20</v>
      </c>
      <c r="O186" s="788">
        <v>65</v>
      </c>
      <c r="P186" s="788">
        <v>63</v>
      </c>
      <c r="Q186" s="788">
        <v>64</v>
      </c>
      <c r="R186" s="788">
        <v>65</v>
      </c>
      <c r="S186" s="751">
        <v>257</v>
      </c>
      <c r="T186" s="752"/>
    </row>
    <row r="187" spans="1:20" ht="14.4" thickBot="1">
      <c r="A187" s="1071"/>
      <c r="B187" s="789" t="s">
        <v>244</v>
      </c>
      <c r="C187" s="790">
        <v>3</v>
      </c>
      <c r="D187" s="790">
        <v>3</v>
      </c>
      <c r="E187" s="790">
        <v>3</v>
      </c>
      <c r="F187" s="790">
        <v>3</v>
      </c>
      <c r="G187" s="790">
        <v>3</v>
      </c>
      <c r="H187" s="790">
        <v>3</v>
      </c>
      <c r="I187" s="790">
        <v>3</v>
      </c>
      <c r="J187" s="790">
        <v>3</v>
      </c>
      <c r="K187" s="790">
        <v>3</v>
      </c>
      <c r="L187" s="790">
        <v>3</v>
      </c>
      <c r="M187" s="790">
        <v>3</v>
      </c>
      <c r="N187" s="790">
        <v>3</v>
      </c>
      <c r="O187" s="790">
        <v>3</v>
      </c>
      <c r="P187" s="790">
        <v>3</v>
      </c>
      <c r="Q187" s="790">
        <v>3</v>
      </c>
      <c r="R187" s="790">
        <v>3</v>
      </c>
      <c r="S187" s="791">
        <v>3</v>
      </c>
      <c r="T187" s="792">
        <v>3</v>
      </c>
    </row>
    <row r="188" spans="1:20">
      <c r="A188" s="1065" t="s">
        <v>248</v>
      </c>
      <c r="B188" s="765" t="s">
        <v>141</v>
      </c>
      <c r="C188" s="781">
        <v>208.37</v>
      </c>
      <c r="D188" s="781">
        <v>229.57999999999998</v>
      </c>
      <c r="E188" s="781">
        <v>188.65</v>
      </c>
      <c r="F188" s="781">
        <v>227.89999999999998</v>
      </c>
      <c r="G188" s="781">
        <v>203.23</v>
      </c>
      <c r="H188" s="781">
        <v>183.23</v>
      </c>
      <c r="I188" s="781">
        <v>206.37</v>
      </c>
      <c r="J188" s="781">
        <v>195.93</v>
      </c>
      <c r="K188" s="781">
        <v>205.85000000000002</v>
      </c>
      <c r="L188" s="781">
        <v>206.53</v>
      </c>
      <c r="M188" s="781">
        <v>215.8</v>
      </c>
      <c r="N188" s="781">
        <v>197.07999999999998</v>
      </c>
      <c r="O188" s="766">
        <v>626.6</v>
      </c>
      <c r="P188" s="766">
        <v>614.36</v>
      </c>
      <c r="Q188" s="766">
        <v>608.15000000000009</v>
      </c>
      <c r="R188" s="766">
        <v>619.41000000000008</v>
      </c>
      <c r="S188" s="768">
        <v>2468.5200000000004</v>
      </c>
      <c r="T188" s="769"/>
    </row>
    <row r="189" spans="1:20">
      <c r="A189" s="1066"/>
      <c r="B189" s="770" t="s">
        <v>142</v>
      </c>
      <c r="C189" s="782">
        <v>258.08</v>
      </c>
      <c r="D189" s="782">
        <v>281.39999999999998</v>
      </c>
      <c r="E189" s="782">
        <v>235.02</v>
      </c>
      <c r="F189" s="782">
        <v>281.08</v>
      </c>
      <c r="G189" s="782">
        <v>254.42</v>
      </c>
      <c r="H189" s="782">
        <v>228.52</v>
      </c>
      <c r="I189" s="782">
        <v>262.43</v>
      </c>
      <c r="J189" s="782">
        <v>249.77</v>
      </c>
      <c r="K189" s="782">
        <v>262.2</v>
      </c>
      <c r="L189" s="782">
        <v>258.32</v>
      </c>
      <c r="M189" s="782">
        <v>272.8</v>
      </c>
      <c r="N189" s="782">
        <v>254.15</v>
      </c>
      <c r="O189" s="758">
        <v>774.5</v>
      </c>
      <c r="P189" s="758">
        <v>764.02</v>
      </c>
      <c r="Q189" s="758">
        <v>774.40000000000009</v>
      </c>
      <c r="R189" s="758">
        <v>785.27</v>
      </c>
      <c r="S189" s="772">
        <v>3098.1900000000005</v>
      </c>
      <c r="T189" s="752"/>
    </row>
    <row r="190" spans="1:20">
      <c r="A190" s="1066"/>
      <c r="B190" s="770" t="s">
        <v>136</v>
      </c>
      <c r="C190" s="782">
        <v>203.05</v>
      </c>
      <c r="D190" s="782">
        <v>237.77</v>
      </c>
      <c r="E190" s="782">
        <v>184.7</v>
      </c>
      <c r="F190" s="782">
        <v>224.5</v>
      </c>
      <c r="G190" s="782">
        <v>201.5</v>
      </c>
      <c r="H190" s="782">
        <v>184.08</v>
      </c>
      <c r="I190" s="782">
        <v>204.73</v>
      </c>
      <c r="J190" s="782">
        <v>193.68</v>
      </c>
      <c r="K190" s="782">
        <v>203.8</v>
      </c>
      <c r="L190" s="782">
        <v>204.05</v>
      </c>
      <c r="M190" s="782">
        <v>215.35</v>
      </c>
      <c r="N190" s="782">
        <v>195.5</v>
      </c>
      <c r="O190" s="758">
        <v>625.52</v>
      </c>
      <c r="P190" s="758">
        <v>610.08000000000004</v>
      </c>
      <c r="Q190" s="758">
        <v>602.21</v>
      </c>
      <c r="R190" s="758">
        <v>614.9</v>
      </c>
      <c r="S190" s="772">
        <v>2452.71</v>
      </c>
      <c r="T190" s="752"/>
    </row>
    <row r="191" spans="1:20" ht="14.4" thickBot="1">
      <c r="A191" s="1067"/>
      <c r="B191" s="773" t="s">
        <v>45</v>
      </c>
      <c r="C191" s="774">
        <v>669.5</v>
      </c>
      <c r="D191" s="774">
        <v>748.75</v>
      </c>
      <c r="E191" s="774">
        <v>608.37</v>
      </c>
      <c r="F191" s="774">
        <v>733.48</v>
      </c>
      <c r="G191" s="774">
        <v>659.15</v>
      </c>
      <c r="H191" s="774">
        <v>595.83000000000004</v>
      </c>
      <c r="I191" s="774">
        <v>673.53</v>
      </c>
      <c r="J191" s="774">
        <v>639.38000000000011</v>
      </c>
      <c r="K191" s="774">
        <v>671.85</v>
      </c>
      <c r="L191" s="774">
        <v>668.90000000000009</v>
      </c>
      <c r="M191" s="774">
        <v>703.95</v>
      </c>
      <c r="N191" s="774">
        <v>646.73</v>
      </c>
      <c r="O191" s="775">
        <v>2026.62</v>
      </c>
      <c r="P191" s="775">
        <v>1988.46</v>
      </c>
      <c r="Q191" s="775">
        <v>1984.7600000000002</v>
      </c>
      <c r="R191" s="775">
        <v>2019.58</v>
      </c>
      <c r="S191" s="776">
        <v>8019.420000000001</v>
      </c>
      <c r="T191" s="792">
        <v>31.203968871595336</v>
      </c>
    </row>
    <row r="192" spans="1:20">
      <c r="A192" s="1065" t="s">
        <v>245</v>
      </c>
      <c r="B192" s="765" t="s">
        <v>141</v>
      </c>
      <c r="C192" s="781">
        <v>4555</v>
      </c>
      <c r="D192" s="781">
        <v>5050</v>
      </c>
      <c r="E192" s="781">
        <v>4134</v>
      </c>
      <c r="F192" s="781">
        <v>4878</v>
      </c>
      <c r="G192" s="781">
        <v>4463</v>
      </c>
      <c r="H192" s="781">
        <v>4065</v>
      </c>
      <c r="I192" s="781">
        <v>4508</v>
      </c>
      <c r="J192" s="781">
        <v>4305</v>
      </c>
      <c r="K192" s="781">
        <v>4550</v>
      </c>
      <c r="L192" s="781">
        <v>4547</v>
      </c>
      <c r="M192" s="781">
        <v>4741</v>
      </c>
      <c r="N192" s="781">
        <v>4357</v>
      </c>
      <c r="O192" s="766">
        <v>13739</v>
      </c>
      <c r="P192" s="766">
        <v>13406</v>
      </c>
      <c r="Q192" s="766">
        <v>13363</v>
      </c>
      <c r="R192" s="766">
        <v>13645</v>
      </c>
      <c r="S192" s="768">
        <v>54153</v>
      </c>
      <c r="T192" s="752"/>
    </row>
    <row r="193" spans="1:20">
      <c r="A193" s="1066"/>
      <c r="B193" s="770" t="s">
        <v>142</v>
      </c>
      <c r="C193" s="782">
        <v>4986</v>
      </c>
      <c r="D193" s="782">
        <v>5369</v>
      </c>
      <c r="E193" s="782">
        <v>4623</v>
      </c>
      <c r="F193" s="782">
        <v>5499</v>
      </c>
      <c r="G193" s="782">
        <v>5062</v>
      </c>
      <c r="H193" s="782">
        <v>4492</v>
      </c>
      <c r="I193" s="782">
        <v>5311</v>
      </c>
      <c r="J193" s="782">
        <v>5004</v>
      </c>
      <c r="K193" s="782">
        <v>5271</v>
      </c>
      <c r="L193" s="782">
        <v>5132</v>
      </c>
      <c r="M193" s="782">
        <v>5482</v>
      </c>
      <c r="N193" s="782">
        <v>5123</v>
      </c>
      <c r="O193" s="758">
        <v>14978</v>
      </c>
      <c r="P193" s="758">
        <v>15053</v>
      </c>
      <c r="Q193" s="758">
        <v>15586</v>
      </c>
      <c r="R193" s="758">
        <v>15737</v>
      </c>
      <c r="S193" s="772">
        <v>61354</v>
      </c>
      <c r="T193" s="752"/>
    </row>
    <row r="194" spans="1:20">
      <c r="A194" s="1066"/>
      <c r="B194" s="770" t="s">
        <v>136</v>
      </c>
      <c r="C194" s="782">
        <v>3632</v>
      </c>
      <c r="D194" s="782">
        <v>3924</v>
      </c>
      <c r="E194" s="782">
        <v>3133</v>
      </c>
      <c r="F194" s="782">
        <v>3769</v>
      </c>
      <c r="G194" s="782">
        <v>3363</v>
      </c>
      <c r="H194" s="782">
        <v>2997</v>
      </c>
      <c r="I194" s="782">
        <v>3277</v>
      </c>
      <c r="J194" s="782">
        <v>3176</v>
      </c>
      <c r="K194" s="782">
        <v>3288</v>
      </c>
      <c r="L194" s="782">
        <v>3322</v>
      </c>
      <c r="M194" s="782">
        <v>3604</v>
      </c>
      <c r="N194" s="782">
        <v>3370</v>
      </c>
      <c r="O194" s="758">
        <v>10689</v>
      </c>
      <c r="P194" s="758">
        <v>10129</v>
      </c>
      <c r="Q194" s="758">
        <v>9741</v>
      </c>
      <c r="R194" s="758">
        <v>10296</v>
      </c>
      <c r="S194" s="772">
        <v>40855</v>
      </c>
      <c r="T194" s="752"/>
    </row>
    <row r="195" spans="1:20" ht="14.4" thickBot="1">
      <c r="A195" s="1067"/>
      <c r="B195" s="773" t="s">
        <v>46</v>
      </c>
      <c r="C195" s="774">
        <v>13173</v>
      </c>
      <c r="D195" s="774">
        <v>14343</v>
      </c>
      <c r="E195" s="774">
        <v>11890</v>
      </c>
      <c r="F195" s="774">
        <v>14146</v>
      </c>
      <c r="G195" s="774">
        <v>12888</v>
      </c>
      <c r="H195" s="774">
        <v>11554</v>
      </c>
      <c r="I195" s="774">
        <v>13096</v>
      </c>
      <c r="J195" s="774">
        <v>12485</v>
      </c>
      <c r="K195" s="774">
        <v>13109</v>
      </c>
      <c r="L195" s="774">
        <v>13001</v>
      </c>
      <c r="M195" s="774">
        <v>13827</v>
      </c>
      <c r="N195" s="774">
        <v>12850</v>
      </c>
      <c r="O195" s="775">
        <v>39406</v>
      </c>
      <c r="P195" s="775">
        <v>38588</v>
      </c>
      <c r="Q195" s="775">
        <v>38690</v>
      </c>
      <c r="R195" s="775">
        <v>39678</v>
      </c>
      <c r="S195" s="776">
        <v>156362</v>
      </c>
      <c r="T195" s="792">
        <v>608.41245136186774</v>
      </c>
    </row>
    <row r="196" spans="1:20">
      <c r="A196" s="1065" t="s">
        <v>249</v>
      </c>
      <c r="B196" s="765" t="s">
        <v>141</v>
      </c>
      <c r="C196" s="781">
        <v>175</v>
      </c>
      <c r="D196" s="781">
        <v>192</v>
      </c>
      <c r="E196" s="781">
        <v>158</v>
      </c>
      <c r="F196" s="781">
        <v>192</v>
      </c>
      <c r="G196" s="781">
        <v>171</v>
      </c>
      <c r="H196" s="781">
        <v>153</v>
      </c>
      <c r="I196" s="781">
        <v>175</v>
      </c>
      <c r="J196" s="781">
        <v>167</v>
      </c>
      <c r="K196" s="781">
        <v>175</v>
      </c>
      <c r="L196" s="781">
        <v>175</v>
      </c>
      <c r="M196" s="781">
        <v>184</v>
      </c>
      <c r="N196" s="781">
        <v>166</v>
      </c>
      <c r="O196" s="766">
        <v>525</v>
      </c>
      <c r="P196" s="766">
        <v>516</v>
      </c>
      <c r="Q196" s="766">
        <v>517</v>
      </c>
      <c r="R196" s="766">
        <v>525</v>
      </c>
      <c r="S196" s="768">
        <v>2083</v>
      </c>
      <c r="T196" s="752"/>
    </row>
    <row r="197" spans="1:20">
      <c r="A197" s="1066"/>
      <c r="B197" s="770" t="s">
        <v>142</v>
      </c>
      <c r="C197" s="782">
        <v>233</v>
      </c>
      <c r="D197" s="782">
        <v>255</v>
      </c>
      <c r="E197" s="782">
        <v>211</v>
      </c>
      <c r="F197" s="782">
        <v>255</v>
      </c>
      <c r="G197" s="782">
        <v>230</v>
      </c>
      <c r="H197" s="782">
        <v>206</v>
      </c>
      <c r="I197" s="782">
        <v>233</v>
      </c>
      <c r="J197" s="782">
        <v>222</v>
      </c>
      <c r="K197" s="782">
        <v>233</v>
      </c>
      <c r="L197" s="782">
        <v>233</v>
      </c>
      <c r="M197" s="782">
        <v>244</v>
      </c>
      <c r="N197" s="782">
        <v>222</v>
      </c>
      <c r="O197" s="758">
        <v>699</v>
      </c>
      <c r="P197" s="758">
        <v>691</v>
      </c>
      <c r="Q197" s="758">
        <v>688</v>
      </c>
      <c r="R197" s="758">
        <v>699</v>
      </c>
      <c r="S197" s="772">
        <v>2777</v>
      </c>
      <c r="T197" s="752"/>
    </row>
    <row r="198" spans="1:20">
      <c r="A198" s="1066"/>
      <c r="B198" s="770" t="s">
        <v>136</v>
      </c>
      <c r="C198" s="782">
        <v>185</v>
      </c>
      <c r="D198" s="782">
        <v>202</v>
      </c>
      <c r="E198" s="782">
        <v>167</v>
      </c>
      <c r="F198" s="782">
        <v>202</v>
      </c>
      <c r="G198" s="782">
        <v>182</v>
      </c>
      <c r="H198" s="782">
        <v>164</v>
      </c>
      <c r="I198" s="782">
        <v>185</v>
      </c>
      <c r="J198" s="782">
        <v>176</v>
      </c>
      <c r="K198" s="782">
        <v>185</v>
      </c>
      <c r="L198" s="782">
        <v>185</v>
      </c>
      <c r="M198" s="782">
        <v>194</v>
      </c>
      <c r="N198" s="782">
        <v>176</v>
      </c>
      <c r="O198" s="758">
        <v>554</v>
      </c>
      <c r="P198" s="758">
        <v>548</v>
      </c>
      <c r="Q198" s="758">
        <v>546</v>
      </c>
      <c r="R198" s="758">
        <v>555</v>
      </c>
      <c r="S198" s="772">
        <v>2203</v>
      </c>
      <c r="T198" s="752"/>
    </row>
    <row r="199" spans="1:20" ht="14.4" thickBot="1">
      <c r="A199" s="1067"/>
      <c r="B199" s="773" t="s">
        <v>109</v>
      </c>
      <c r="C199" s="774">
        <v>593</v>
      </c>
      <c r="D199" s="774">
        <v>649</v>
      </c>
      <c r="E199" s="774">
        <v>536</v>
      </c>
      <c r="F199" s="774">
        <v>649</v>
      </c>
      <c r="G199" s="774">
        <v>583</v>
      </c>
      <c r="H199" s="774">
        <v>523</v>
      </c>
      <c r="I199" s="774">
        <v>593</v>
      </c>
      <c r="J199" s="774">
        <v>565</v>
      </c>
      <c r="K199" s="774">
        <v>593</v>
      </c>
      <c r="L199" s="774">
        <v>593</v>
      </c>
      <c r="M199" s="774">
        <v>622</v>
      </c>
      <c r="N199" s="774">
        <v>564</v>
      </c>
      <c r="O199" s="775">
        <v>1778</v>
      </c>
      <c r="P199" s="775">
        <v>1755</v>
      </c>
      <c r="Q199" s="775">
        <v>1751</v>
      </c>
      <c r="R199" s="775">
        <v>1779</v>
      </c>
      <c r="S199" s="776">
        <v>7063</v>
      </c>
      <c r="T199" s="792">
        <v>27.482490272373539</v>
      </c>
    </row>
    <row r="200" spans="1:20">
      <c r="A200" s="1072" t="s">
        <v>246</v>
      </c>
      <c r="B200" s="765" t="s">
        <v>141</v>
      </c>
      <c r="C200" s="781">
        <v>3242</v>
      </c>
      <c r="D200" s="781">
        <v>3568</v>
      </c>
      <c r="E200" s="781">
        <v>2943</v>
      </c>
      <c r="F200" s="781">
        <v>3478</v>
      </c>
      <c r="G200" s="781">
        <v>3165</v>
      </c>
      <c r="H200" s="781">
        <v>2796</v>
      </c>
      <c r="I200" s="781">
        <v>3237</v>
      </c>
      <c r="J200" s="781">
        <v>3062</v>
      </c>
      <c r="K200" s="781">
        <v>3237</v>
      </c>
      <c r="L200" s="781">
        <v>3246</v>
      </c>
      <c r="M200" s="781">
        <v>3380</v>
      </c>
      <c r="N200" s="781">
        <v>3096</v>
      </c>
      <c r="O200" s="766">
        <v>9753</v>
      </c>
      <c r="P200" s="766">
        <v>9439</v>
      </c>
      <c r="Q200" s="766">
        <v>9536</v>
      </c>
      <c r="R200" s="766">
        <v>9722</v>
      </c>
      <c r="S200" s="768">
        <v>38450</v>
      </c>
      <c r="T200" s="752"/>
    </row>
    <row r="201" spans="1:20">
      <c r="A201" s="1073"/>
      <c r="B201" s="770" t="s">
        <v>142</v>
      </c>
      <c r="C201" s="782">
        <v>4525</v>
      </c>
      <c r="D201" s="782">
        <v>4921</v>
      </c>
      <c r="E201" s="782">
        <v>4157</v>
      </c>
      <c r="F201" s="782">
        <v>5053</v>
      </c>
      <c r="G201" s="782">
        <v>4516</v>
      </c>
      <c r="H201" s="782">
        <v>4046</v>
      </c>
      <c r="I201" s="782">
        <v>4613</v>
      </c>
      <c r="J201" s="782">
        <v>4371</v>
      </c>
      <c r="K201" s="782">
        <v>4552</v>
      </c>
      <c r="L201" s="782">
        <v>4543</v>
      </c>
      <c r="M201" s="782">
        <v>4787</v>
      </c>
      <c r="N201" s="782">
        <v>4394</v>
      </c>
      <c r="O201" s="758">
        <v>13603</v>
      </c>
      <c r="P201" s="758">
        <v>13615</v>
      </c>
      <c r="Q201" s="758">
        <v>13536</v>
      </c>
      <c r="R201" s="758">
        <v>13724</v>
      </c>
      <c r="S201" s="772">
        <v>54478</v>
      </c>
      <c r="T201" s="752"/>
    </row>
    <row r="202" spans="1:20">
      <c r="A202" s="1073"/>
      <c r="B202" s="770" t="s">
        <v>136</v>
      </c>
      <c r="C202" s="782">
        <v>2918</v>
      </c>
      <c r="D202" s="782">
        <v>3220</v>
      </c>
      <c r="E202" s="782">
        <v>2677</v>
      </c>
      <c r="F202" s="782">
        <v>3251</v>
      </c>
      <c r="G202" s="782">
        <v>2963</v>
      </c>
      <c r="H202" s="782">
        <v>2677</v>
      </c>
      <c r="I202" s="782">
        <v>2905</v>
      </c>
      <c r="J202" s="782">
        <v>2784</v>
      </c>
      <c r="K202" s="782">
        <v>2967</v>
      </c>
      <c r="L202" s="782">
        <v>2950</v>
      </c>
      <c r="M202" s="782">
        <v>3170</v>
      </c>
      <c r="N202" s="782">
        <v>2810</v>
      </c>
      <c r="O202" s="758">
        <v>8815</v>
      </c>
      <c r="P202" s="758">
        <v>8891</v>
      </c>
      <c r="Q202" s="758">
        <v>8656</v>
      </c>
      <c r="R202" s="758">
        <v>8930</v>
      </c>
      <c r="S202" s="772">
        <v>35292</v>
      </c>
      <c r="T202" s="752"/>
    </row>
    <row r="203" spans="1:20" ht="14.4" thickBot="1">
      <c r="A203" s="1074"/>
      <c r="B203" s="773" t="s">
        <v>47</v>
      </c>
      <c r="C203" s="774">
        <v>10685</v>
      </c>
      <c r="D203" s="774">
        <v>11709</v>
      </c>
      <c r="E203" s="774">
        <v>9777</v>
      </c>
      <c r="F203" s="774">
        <v>11782</v>
      </c>
      <c r="G203" s="774">
        <v>10644</v>
      </c>
      <c r="H203" s="774">
        <v>9519</v>
      </c>
      <c r="I203" s="774">
        <v>10755</v>
      </c>
      <c r="J203" s="774">
        <v>10217</v>
      </c>
      <c r="K203" s="774">
        <v>10756</v>
      </c>
      <c r="L203" s="774">
        <v>10739</v>
      </c>
      <c r="M203" s="774">
        <v>11337</v>
      </c>
      <c r="N203" s="774">
        <v>10300</v>
      </c>
      <c r="O203" s="775">
        <v>32171</v>
      </c>
      <c r="P203" s="775">
        <v>31945</v>
      </c>
      <c r="Q203" s="775">
        <v>31728</v>
      </c>
      <c r="R203" s="775">
        <v>32376</v>
      </c>
      <c r="S203" s="776">
        <v>128220</v>
      </c>
      <c r="T203" s="792">
        <v>498.91050583657585</v>
      </c>
    </row>
    <row r="204" spans="1:20">
      <c r="A204" s="1065" t="s">
        <v>251</v>
      </c>
      <c r="B204" s="765" t="s">
        <v>141</v>
      </c>
      <c r="C204" s="781">
        <v>9243</v>
      </c>
      <c r="D204" s="781">
        <v>10136</v>
      </c>
      <c r="E204" s="781">
        <v>8296</v>
      </c>
      <c r="F204" s="781">
        <v>11011</v>
      </c>
      <c r="G204" s="781">
        <v>9815</v>
      </c>
      <c r="H204" s="781">
        <v>8495</v>
      </c>
      <c r="I204" s="781">
        <v>12014</v>
      </c>
      <c r="J204" s="781">
        <v>10493</v>
      </c>
      <c r="K204" s="781">
        <v>11438</v>
      </c>
      <c r="L204" s="781">
        <v>11792</v>
      </c>
      <c r="M204" s="781">
        <v>11777</v>
      </c>
      <c r="N204" s="781">
        <v>11950</v>
      </c>
      <c r="O204" s="766">
        <v>27675</v>
      </c>
      <c r="P204" s="766">
        <v>29321</v>
      </c>
      <c r="Q204" s="766">
        <v>33945</v>
      </c>
      <c r="R204" s="766">
        <v>35519</v>
      </c>
      <c r="S204" s="768">
        <v>126460</v>
      </c>
      <c r="T204" s="752"/>
    </row>
    <row r="205" spans="1:20">
      <c r="A205" s="1066"/>
      <c r="B205" s="770" t="s">
        <v>142</v>
      </c>
      <c r="C205" s="782">
        <v>13088</v>
      </c>
      <c r="D205" s="782">
        <v>13701</v>
      </c>
      <c r="E205" s="782">
        <v>13466</v>
      </c>
      <c r="F205" s="782">
        <v>15355</v>
      </c>
      <c r="G205" s="782">
        <v>12345</v>
      </c>
      <c r="H205" s="782">
        <v>10278</v>
      </c>
      <c r="I205" s="782">
        <v>13576</v>
      </c>
      <c r="J205" s="782">
        <v>14885</v>
      </c>
      <c r="K205" s="782">
        <v>14300</v>
      </c>
      <c r="L205" s="782">
        <v>15401</v>
      </c>
      <c r="M205" s="782">
        <v>17239</v>
      </c>
      <c r="N205" s="782">
        <v>15303</v>
      </c>
      <c r="O205" s="758">
        <v>40255</v>
      </c>
      <c r="P205" s="758">
        <v>37978</v>
      </c>
      <c r="Q205" s="758">
        <v>42761</v>
      </c>
      <c r="R205" s="758">
        <v>47943</v>
      </c>
      <c r="S205" s="772">
        <v>168937</v>
      </c>
      <c r="T205" s="752"/>
    </row>
    <row r="206" spans="1:20">
      <c r="A206" s="1066"/>
      <c r="B206" s="770" t="s">
        <v>136</v>
      </c>
      <c r="C206" s="782">
        <v>5571</v>
      </c>
      <c r="D206" s="782">
        <v>6192</v>
      </c>
      <c r="E206" s="782">
        <v>4760</v>
      </c>
      <c r="F206" s="782">
        <v>7433</v>
      </c>
      <c r="G206" s="782">
        <v>6384</v>
      </c>
      <c r="H206" s="782">
        <v>6347</v>
      </c>
      <c r="I206" s="782">
        <v>5284</v>
      </c>
      <c r="J206" s="782">
        <v>5530</v>
      </c>
      <c r="K206" s="782">
        <v>5940</v>
      </c>
      <c r="L206" s="782">
        <v>6916</v>
      </c>
      <c r="M206" s="782">
        <v>7681</v>
      </c>
      <c r="N206" s="782">
        <v>5457</v>
      </c>
      <c r="O206" s="758">
        <v>16523</v>
      </c>
      <c r="P206" s="758">
        <v>20164</v>
      </c>
      <c r="Q206" s="758">
        <v>16754</v>
      </c>
      <c r="R206" s="758">
        <v>20054</v>
      </c>
      <c r="S206" s="772">
        <v>73495</v>
      </c>
      <c r="T206" s="752"/>
    </row>
    <row r="207" spans="1:20" ht="14.4" thickBot="1">
      <c r="A207" s="1067"/>
      <c r="B207" s="773" t="s">
        <v>241</v>
      </c>
      <c r="C207" s="774">
        <v>27902</v>
      </c>
      <c r="D207" s="774">
        <v>30029</v>
      </c>
      <c r="E207" s="774">
        <v>26522</v>
      </c>
      <c r="F207" s="774">
        <v>33799</v>
      </c>
      <c r="G207" s="774">
        <v>28544</v>
      </c>
      <c r="H207" s="774">
        <v>25120</v>
      </c>
      <c r="I207" s="774">
        <v>30874</v>
      </c>
      <c r="J207" s="774">
        <v>30908</v>
      </c>
      <c r="K207" s="774">
        <v>31678</v>
      </c>
      <c r="L207" s="774">
        <v>34109</v>
      </c>
      <c r="M207" s="774">
        <v>36697</v>
      </c>
      <c r="N207" s="774">
        <v>32710</v>
      </c>
      <c r="O207" s="775">
        <v>84453</v>
      </c>
      <c r="P207" s="775">
        <v>87463</v>
      </c>
      <c r="Q207" s="775">
        <v>93460</v>
      </c>
      <c r="R207" s="775">
        <v>103516</v>
      </c>
      <c r="S207" s="776">
        <v>368892</v>
      </c>
      <c r="T207" s="792">
        <v>1435.3774319066147</v>
      </c>
    </row>
    <row r="208" spans="1:20">
      <c r="A208" s="1065" t="s">
        <v>260</v>
      </c>
      <c r="B208" s="765" t="s">
        <v>141</v>
      </c>
      <c r="C208" s="781">
        <v>776</v>
      </c>
      <c r="D208" s="781">
        <v>855</v>
      </c>
      <c r="E208" s="781">
        <v>709</v>
      </c>
      <c r="F208" s="781">
        <v>915</v>
      </c>
      <c r="G208" s="781">
        <v>834</v>
      </c>
      <c r="H208" s="781">
        <v>729</v>
      </c>
      <c r="I208" s="781">
        <v>998</v>
      </c>
      <c r="J208" s="781">
        <v>883</v>
      </c>
      <c r="K208" s="781">
        <v>934</v>
      </c>
      <c r="L208" s="781">
        <v>973</v>
      </c>
      <c r="M208" s="781">
        <v>974</v>
      </c>
      <c r="N208" s="781">
        <v>944</v>
      </c>
      <c r="O208" s="766">
        <v>2340</v>
      </c>
      <c r="P208" s="766">
        <v>2478</v>
      </c>
      <c r="Q208" s="766">
        <v>2815</v>
      </c>
      <c r="R208" s="766">
        <v>2891</v>
      </c>
      <c r="S208" s="768">
        <v>10524</v>
      </c>
      <c r="T208" s="752"/>
    </row>
    <row r="209" spans="1:20">
      <c r="A209" s="1066"/>
      <c r="B209" s="770" t="s">
        <v>142</v>
      </c>
      <c r="C209" s="782">
        <v>879</v>
      </c>
      <c r="D209" s="782">
        <v>931</v>
      </c>
      <c r="E209" s="782">
        <v>782</v>
      </c>
      <c r="F209" s="782">
        <v>942</v>
      </c>
      <c r="G209" s="782">
        <v>826</v>
      </c>
      <c r="H209" s="782">
        <v>675</v>
      </c>
      <c r="I209" s="782">
        <v>886</v>
      </c>
      <c r="J209" s="782">
        <v>997</v>
      </c>
      <c r="K209" s="782">
        <v>983</v>
      </c>
      <c r="L209" s="782">
        <v>1083</v>
      </c>
      <c r="M209" s="782">
        <v>1218</v>
      </c>
      <c r="N209" s="782">
        <v>1053</v>
      </c>
      <c r="O209" s="758">
        <v>2592</v>
      </c>
      <c r="P209" s="758">
        <v>2443</v>
      </c>
      <c r="Q209" s="758">
        <v>2866</v>
      </c>
      <c r="R209" s="758">
        <v>3354</v>
      </c>
      <c r="S209" s="772">
        <v>11255</v>
      </c>
      <c r="T209" s="752"/>
    </row>
    <row r="210" spans="1:20">
      <c r="A210" s="1066"/>
      <c r="B210" s="770" t="s">
        <v>136</v>
      </c>
      <c r="C210" s="782">
        <v>482</v>
      </c>
      <c r="D210" s="782">
        <v>538</v>
      </c>
      <c r="E210" s="782">
        <v>402</v>
      </c>
      <c r="F210" s="782">
        <v>641</v>
      </c>
      <c r="G210" s="782">
        <v>588</v>
      </c>
      <c r="H210" s="782">
        <v>555</v>
      </c>
      <c r="I210" s="782">
        <v>404</v>
      </c>
      <c r="J210" s="782">
        <v>490</v>
      </c>
      <c r="K210" s="782">
        <v>520</v>
      </c>
      <c r="L210" s="782">
        <v>590</v>
      </c>
      <c r="M210" s="782">
        <v>615</v>
      </c>
      <c r="N210" s="782">
        <v>487</v>
      </c>
      <c r="O210" s="758">
        <v>1422</v>
      </c>
      <c r="P210" s="758">
        <v>1784</v>
      </c>
      <c r="Q210" s="758">
        <v>1414</v>
      </c>
      <c r="R210" s="758">
        <v>1692</v>
      </c>
      <c r="S210" s="772">
        <v>6312</v>
      </c>
      <c r="T210" s="752"/>
    </row>
    <row r="211" spans="1:20" ht="14.4" thickBot="1">
      <c r="A211" s="1067"/>
      <c r="B211" s="773" t="s">
        <v>267</v>
      </c>
      <c r="C211" s="774">
        <v>2137</v>
      </c>
      <c r="D211" s="774">
        <v>2324</v>
      </c>
      <c r="E211" s="774">
        <v>1893</v>
      </c>
      <c r="F211" s="774">
        <v>2498</v>
      </c>
      <c r="G211" s="774">
        <v>2248</v>
      </c>
      <c r="H211" s="774">
        <v>1959</v>
      </c>
      <c r="I211" s="774">
        <v>2288</v>
      </c>
      <c r="J211" s="774">
        <v>2370</v>
      </c>
      <c r="K211" s="774">
        <v>2437</v>
      </c>
      <c r="L211" s="774">
        <v>2646</v>
      </c>
      <c r="M211" s="774">
        <v>2807</v>
      </c>
      <c r="N211" s="774">
        <v>2484</v>
      </c>
      <c r="O211" s="774">
        <v>6354</v>
      </c>
      <c r="P211" s="774">
        <v>6705</v>
      </c>
      <c r="Q211" s="774">
        <v>7095</v>
      </c>
      <c r="R211" s="774">
        <v>7937</v>
      </c>
      <c r="S211" s="776">
        <v>28091</v>
      </c>
      <c r="T211" s="792">
        <v>109.3035019455253</v>
      </c>
    </row>
    <row r="212" spans="1:20">
      <c r="A212" s="1052" t="s">
        <v>268</v>
      </c>
      <c r="B212" s="793" t="s">
        <v>250</v>
      </c>
      <c r="C212" s="794">
        <v>76.5</v>
      </c>
      <c r="D212" s="794">
        <v>99.75</v>
      </c>
      <c r="E212" s="794">
        <v>72.37</v>
      </c>
      <c r="F212" s="794">
        <v>84.480000000000018</v>
      </c>
      <c r="G212" s="794">
        <v>76.149999999999977</v>
      </c>
      <c r="H212" s="794">
        <v>72.830000000000041</v>
      </c>
      <c r="I212" s="794">
        <v>80.529999999999973</v>
      </c>
      <c r="J212" s="794">
        <v>74.380000000000109</v>
      </c>
      <c r="K212" s="794">
        <v>78.850000000000023</v>
      </c>
      <c r="L212" s="794">
        <v>75.900000000000091</v>
      </c>
      <c r="M212" s="794">
        <v>81.950000000000045</v>
      </c>
      <c r="N212" s="794">
        <v>82.730000000000018</v>
      </c>
      <c r="O212" s="794">
        <v>248.62</v>
      </c>
      <c r="P212" s="794">
        <v>233.46000000000004</v>
      </c>
      <c r="Q212" s="794">
        <v>233.7600000000001</v>
      </c>
      <c r="R212" s="794">
        <v>240.58000000000015</v>
      </c>
      <c r="S212" s="794">
        <v>956.4200000000003</v>
      </c>
      <c r="T212" s="795">
        <v>3.7214785992217969</v>
      </c>
    </row>
    <row r="213" spans="1:20">
      <c r="A213" s="1053"/>
      <c r="B213" s="793" t="s">
        <v>247</v>
      </c>
      <c r="C213" s="794">
        <v>2488</v>
      </c>
      <c r="D213" s="794">
        <v>2634</v>
      </c>
      <c r="E213" s="794">
        <v>2113</v>
      </c>
      <c r="F213" s="794">
        <v>2364</v>
      </c>
      <c r="G213" s="794">
        <v>2244</v>
      </c>
      <c r="H213" s="794">
        <v>2035</v>
      </c>
      <c r="I213" s="794">
        <v>2341</v>
      </c>
      <c r="J213" s="794">
        <v>2268</v>
      </c>
      <c r="K213" s="794">
        <v>2353</v>
      </c>
      <c r="L213" s="794">
        <v>2262</v>
      </c>
      <c r="M213" s="794">
        <v>2490</v>
      </c>
      <c r="N213" s="794">
        <v>2550</v>
      </c>
      <c r="O213" s="794">
        <v>7235</v>
      </c>
      <c r="P213" s="794">
        <v>6643</v>
      </c>
      <c r="Q213" s="794">
        <v>6962</v>
      </c>
      <c r="R213" s="794">
        <v>7302</v>
      </c>
      <c r="S213" s="794">
        <v>28142</v>
      </c>
      <c r="T213" s="795">
        <v>109.50194552529189</v>
      </c>
    </row>
    <row r="214" spans="1:20">
      <c r="A214" s="1054"/>
      <c r="B214" s="793" t="s">
        <v>261</v>
      </c>
      <c r="C214" s="797">
        <v>32.522875816993462</v>
      </c>
      <c r="D214" s="797">
        <v>26.406015037593985</v>
      </c>
      <c r="E214" s="797">
        <v>29.197181152411218</v>
      </c>
      <c r="F214" s="797">
        <v>27.98295454545454</v>
      </c>
      <c r="G214" s="797">
        <v>29.468154957321087</v>
      </c>
      <c r="H214" s="797">
        <v>27.941782232596442</v>
      </c>
      <c r="I214" s="797">
        <v>29.069911834099102</v>
      </c>
      <c r="J214" s="797">
        <v>30.492067760150533</v>
      </c>
      <c r="K214" s="797">
        <v>29.84147114774888</v>
      </c>
      <c r="L214" s="797">
        <v>29.802371541501941</v>
      </c>
      <c r="M214" s="797">
        <v>30.384380719951174</v>
      </c>
      <c r="N214" s="797">
        <v>30.82315967605463</v>
      </c>
      <c r="O214" s="797">
        <v>29.100635508004181</v>
      </c>
      <c r="P214" s="797">
        <v>28.454553242525481</v>
      </c>
      <c r="Q214" s="797">
        <v>29.782683093771375</v>
      </c>
      <c r="R214" s="797">
        <v>30.351650178734705</v>
      </c>
      <c r="S214" s="797">
        <v>29.424311494949908</v>
      </c>
      <c r="T214" s="798">
        <v>29.424311494949876</v>
      </c>
    </row>
    <row r="215" spans="1:20" ht="6" customHeight="1" thickBot="1">
      <c r="A215" s="784"/>
      <c r="B215" s="799"/>
      <c r="C215" s="799"/>
      <c r="D215" s="799"/>
      <c r="E215" s="799"/>
      <c r="F215" s="799"/>
      <c r="G215" s="799"/>
      <c r="H215" s="799"/>
      <c r="I215" s="799"/>
      <c r="J215" s="799"/>
      <c r="K215" s="799"/>
      <c r="L215" s="799"/>
      <c r="M215" s="799"/>
      <c r="N215" s="799"/>
      <c r="O215" s="799"/>
      <c r="P215" s="799"/>
      <c r="Q215" s="799"/>
      <c r="R215" s="799"/>
      <c r="S215" s="786"/>
      <c r="T215" s="785"/>
    </row>
    <row r="216" spans="1:20">
      <c r="A216" s="1068" t="s">
        <v>389</v>
      </c>
      <c r="B216" s="800" t="s">
        <v>187</v>
      </c>
      <c r="C216" s="801">
        <v>4</v>
      </c>
      <c r="D216" s="801">
        <v>4</v>
      </c>
      <c r="E216" s="801">
        <v>5</v>
      </c>
      <c r="F216" s="801">
        <v>4</v>
      </c>
      <c r="G216" s="801">
        <v>4</v>
      </c>
      <c r="H216" s="801">
        <v>5</v>
      </c>
      <c r="I216" s="801">
        <v>4</v>
      </c>
      <c r="J216" s="801">
        <v>4</v>
      </c>
      <c r="K216" s="801">
        <v>5</v>
      </c>
      <c r="L216" s="802">
        <v>4</v>
      </c>
      <c r="M216" s="801">
        <v>4</v>
      </c>
      <c r="N216" s="801">
        <v>5</v>
      </c>
      <c r="O216" s="802">
        <v>13</v>
      </c>
      <c r="P216" s="802">
        <v>13</v>
      </c>
      <c r="Q216" s="802">
        <v>13</v>
      </c>
      <c r="R216" s="802">
        <v>13</v>
      </c>
      <c r="S216" s="803">
        <v>52</v>
      </c>
      <c r="T216" s="752"/>
    </row>
    <row r="217" spans="1:20" ht="14.4" thickBot="1">
      <c r="A217" s="1069"/>
      <c r="B217" s="789" t="s">
        <v>244</v>
      </c>
      <c r="C217" s="762">
        <v>1</v>
      </c>
      <c r="D217" s="762">
        <v>1</v>
      </c>
      <c r="E217" s="762">
        <v>1</v>
      </c>
      <c r="F217" s="762">
        <v>1</v>
      </c>
      <c r="G217" s="762">
        <v>1</v>
      </c>
      <c r="H217" s="762">
        <v>1</v>
      </c>
      <c r="I217" s="762">
        <v>1</v>
      </c>
      <c r="J217" s="762">
        <v>1</v>
      </c>
      <c r="K217" s="762">
        <v>1</v>
      </c>
      <c r="L217" s="762">
        <v>1</v>
      </c>
      <c r="M217" s="762">
        <v>1</v>
      </c>
      <c r="N217" s="762">
        <v>1</v>
      </c>
      <c r="O217" s="763">
        <v>1</v>
      </c>
      <c r="P217" s="763">
        <v>1</v>
      </c>
      <c r="Q217" s="763">
        <v>1</v>
      </c>
      <c r="R217" s="763">
        <v>1</v>
      </c>
      <c r="S217" s="791">
        <v>1</v>
      </c>
      <c r="T217" s="792">
        <v>1</v>
      </c>
    </row>
    <row r="218" spans="1:20">
      <c r="A218" s="1065" t="s">
        <v>248</v>
      </c>
      <c r="B218" s="765" t="s">
        <v>141</v>
      </c>
      <c r="C218" s="766">
        <v>48</v>
      </c>
      <c r="D218" s="766">
        <v>49</v>
      </c>
      <c r="E218" s="766">
        <v>60</v>
      </c>
      <c r="F218" s="766">
        <v>48</v>
      </c>
      <c r="G218" s="766">
        <v>48</v>
      </c>
      <c r="H218" s="766">
        <v>55</v>
      </c>
      <c r="I218" s="766">
        <v>46</v>
      </c>
      <c r="J218" s="766">
        <v>48</v>
      </c>
      <c r="K218" s="766">
        <v>60</v>
      </c>
      <c r="L218" s="766">
        <v>48</v>
      </c>
      <c r="M218" s="766">
        <v>47</v>
      </c>
      <c r="N218" s="766">
        <v>60</v>
      </c>
      <c r="O218" s="767">
        <v>157</v>
      </c>
      <c r="P218" s="767">
        <v>151</v>
      </c>
      <c r="Q218" s="767">
        <v>154</v>
      </c>
      <c r="R218" s="767">
        <v>155</v>
      </c>
      <c r="S218" s="768">
        <v>617</v>
      </c>
      <c r="T218" s="769"/>
    </row>
    <row r="219" spans="1:20" hidden="1">
      <c r="A219" s="1066"/>
      <c r="B219" s="804" t="s">
        <v>142</v>
      </c>
      <c r="C219" s="805"/>
      <c r="D219" s="805"/>
      <c r="E219" s="805"/>
      <c r="F219" s="805"/>
      <c r="G219" s="805"/>
      <c r="H219" s="805"/>
      <c r="I219" s="805"/>
      <c r="J219" s="805"/>
      <c r="K219" s="805"/>
      <c r="L219" s="805"/>
      <c r="M219" s="805"/>
      <c r="N219" s="805"/>
      <c r="O219" s="805"/>
      <c r="P219" s="805"/>
      <c r="Q219" s="805"/>
      <c r="R219" s="805"/>
      <c r="S219" s="806">
        <v>0</v>
      </c>
      <c r="T219" s="752"/>
    </row>
    <row r="220" spans="1:20" hidden="1">
      <c r="A220" s="1066"/>
      <c r="B220" s="804" t="s">
        <v>136</v>
      </c>
      <c r="C220" s="805"/>
      <c r="D220" s="805"/>
      <c r="E220" s="805"/>
      <c r="F220" s="805"/>
      <c r="G220" s="805"/>
      <c r="H220" s="805"/>
      <c r="I220" s="805"/>
      <c r="J220" s="805"/>
      <c r="K220" s="805"/>
      <c r="L220" s="805"/>
      <c r="M220" s="805"/>
      <c r="N220" s="805"/>
      <c r="O220" s="805"/>
      <c r="P220" s="805"/>
      <c r="Q220" s="805"/>
      <c r="R220" s="805"/>
      <c r="S220" s="806">
        <v>0</v>
      </c>
      <c r="T220" s="752"/>
    </row>
    <row r="221" spans="1:20" ht="14.4" thickBot="1">
      <c r="A221" s="1067"/>
      <c r="B221" s="773" t="s">
        <v>45</v>
      </c>
      <c r="C221" s="774">
        <v>48</v>
      </c>
      <c r="D221" s="774">
        <v>49</v>
      </c>
      <c r="E221" s="774">
        <v>60</v>
      </c>
      <c r="F221" s="774">
        <v>48</v>
      </c>
      <c r="G221" s="774">
        <v>48</v>
      </c>
      <c r="H221" s="774">
        <v>55</v>
      </c>
      <c r="I221" s="774">
        <v>46</v>
      </c>
      <c r="J221" s="774">
        <v>48</v>
      </c>
      <c r="K221" s="774">
        <v>60</v>
      </c>
      <c r="L221" s="774">
        <v>48</v>
      </c>
      <c r="M221" s="774">
        <v>47</v>
      </c>
      <c r="N221" s="774">
        <v>60</v>
      </c>
      <c r="O221" s="774">
        <v>157</v>
      </c>
      <c r="P221" s="774">
        <v>151</v>
      </c>
      <c r="Q221" s="774">
        <v>154</v>
      </c>
      <c r="R221" s="774">
        <v>155</v>
      </c>
      <c r="S221" s="776">
        <v>617</v>
      </c>
      <c r="T221" s="792">
        <v>11.865384615384615</v>
      </c>
    </row>
    <row r="222" spans="1:20">
      <c r="A222" s="1065" t="s">
        <v>245</v>
      </c>
      <c r="B222" s="765" t="s">
        <v>141</v>
      </c>
      <c r="C222" s="766">
        <v>1079</v>
      </c>
      <c r="D222" s="766">
        <v>1061</v>
      </c>
      <c r="E222" s="766">
        <v>1264</v>
      </c>
      <c r="F222" s="766">
        <v>987</v>
      </c>
      <c r="G222" s="766">
        <v>1020</v>
      </c>
      <c r="H222" s="766">
        <v>1116</v>
      </c>
      <c r="I222" s="766">
        <v>947</v>
      </c>
      <c r="J222" s="766">
        <v>1003</v>
      </c>
      <c r="K222" s="766">
        <v>1239</v>
      </c>
      <c r="L222" s="766">
        <v>889</v>
      </c>
      <c r="M222" s="766">
        <v>867</v>
      </c>
      <c r="N222" s="766">
        <v>1150</v>
      </c>
      <c r="O222" s="767">
        <v>3404</v>
      </c>
      <c r="P222" s="767">
        <v>3123</v>
      </c>
      <c r="Q222" s="767">
        <v>3189</v>
      </c>
      <c r="R222" s="767">
        <v>2906</v>
      </c>
      <c r="S222" s="768">
        <v>12622</v>
      </c>
      <c r="T222" s="752"/>
    </row>
    <row r="223" spans="1:20" hidden="1">
      <c r="A223" s="1066"/>
      <c r="B223" s="804" t="s">
        <v>142</v>
      </c>
      <c r="C223" s="805"/>
      <c r="D223" s="805"/>
      <c r="E223" s="805"/>
      <c r="F223" s="805"/>
      <c r="G223" s="805"/>
      <c r="H223" s="805"/>
      <c r="I223" s="805"/>
      <c r="J223" s="805"/>
      <c r="K223" s="805"/>
      <c r="L223" s="805"/>
      <c r="M223" s="805"/>
      <c r="N223" s="805"/>
      <c r="O223" s="805"/>
      <c r="P223" s="805"/>
      <c r="Q223" s="805"/>
      <c r="R223" s="805"/>
      <c r="S223" s="806">
        <v>0</v>
      </c>
      <c r="T223" s="752"/>
    </row>
    <row r="224" spans="1:20" hidden="1">
      <c r="A224" s="1066"/>
      <c r="B224" s="804" t="s">
        <v>136</v>
      </c>
      <c r="C224" s="805"/>
      <c r="D224" s="805"/>
      <c r="E224" s="805"/>
      <c r="F224" s="805"/>
      <c r="G224" s="805"/>
      <c r="H224" s="805"/>
      <c r="I224" s="805"/>
      <c r="J224" s="805"/>
      <c r="K224" s="805"/>
      <c r="L224" s="805"/>
      <c r="M224" s="805"/>
      <c r="N224" s="805"/>
      <c r="O224" s="805"/>
      <c r="P224" s="805"/>
      <c r="Q224" s="805"/>
      <c r="R224" s="805"/>
      <c r="S224" s="806">
        <v>0</v>
      </c>
      <c r="T224" s="752"/>
    </row>
    <row r="225" spans="1:20" ht="14.4" thickBot="1">
      <c r="A225" s="1067"/>
      <c r="B225" s="773" t="s">
        <v>46</v>
      </c>
      <c r="C225" s="774">
        <v>1079</v>
      </c>
      <c r="D225" s="774">
        <v>1061</v>
      </c>
      <c r="E225" s="774">
        <v>1264</v>
      </c>
      <c r="F225" s="774">
        <v>987</v>
      </c>
      <c r="G225" s="774">
        <v>1020</v>
      </c>
      <c r="H225" s="774">
        <v>1116</v>
      </c>
      <c r="I225" s="774">
        <v>947</v>
      </c>
      <c r="J225" s="774">
        <v>1003</v>
      </c>
      <c r="K225" s="774">
        <v>1239</v>
      </c>
      <c r="L225" s="774">
        <v>889</v>
      </c>
      <c r="M225" s="774">
        <v>867</v>
      </c>
      <c r="N225" s="774">
        <v>1150</v>
      </c>
      <c r="O225" s="774">
        <v>3404</v>
      </c>
      <c r="P225" s="774">
        <v>3123</v>
      </c>
      <c r="Q225" s="774">
        <v>3189</v>
      </c>
      <c r="R225" s="774">
        <v>2906</v>
      </c>
      <c r="S225" s="776">
        <v>12622</v>
      </c>
      <c r="T225" s="792">
        <v>242.73076923076923</v>
      </c>
    </row>
    <row r="226" spans="1:20">
      <c r="A226" s="1065" t="s">
        <v>249</v>
      </c>
      <c r="B226" s="765" t="s">
        <v>141</v>
      </c>
      <c r="C226" s="766">
        <v>41</v>
      </c>
      <c r="D226" s="766">
        <v>41</v>
      </c>
      <c r="E226" s="766">
        <v>52</v>
      </c>
      <c r="F226" s="766">
        <v>41</v>
      </c>
      <c r="G226" s="766">
        <v>41</v>
      </c>
      <c r="H226" s="766">
        <v>47</v>
      </c>
      <c r="I226" s="766">
        <v>40</v>
      </c>
      <c r="J226" s="766">
        <v>41</v>
      </c>
      <c r="K226" s="766">
        <v>52</v>
      </c>
      <c r="L226" s="766">
        <v>41</v>
      </c>
      <c r="M226" s="766">
        <v>41</v>
      </c>
      <c r="N226" s="766">
        <v>52</v>
      </c>
      <c r="O226" s="767">
        <v>134</v>
      </c>
      <c r="P226" s="767">
        <v>129</v>
      </c>
      <c r="Q226" s="767">
        <v>133</v>
      </c>
      <c r="R226" s="767">
        <v>134</v>
      </c>
      <c r="S226" s="768">
        <v>530</v>
      </c>
      <c r="T226" s="752"/>
    </row>
    <row r="227" spans="1:20" hidden="1">
      <c r="A227" s="1066"/>
      <c r="B227" s="804" t="s">
        <v>142</v>
      </c>
      <c r="C227" s="805"/>
      <c r="D227" s="805"/>
      <c r="E227" s="805"/>
      <c r="F227" s="805"/>
      <c r="G227" s="805"/>
      <c r="H227" s="805"/>
      <c r="I227" s="805"/>
      <c r="J227" s="805"/>
      <c r="K227" s="805"/>
      <c r="L227" s="805"/>
      <c r="M227" s="805"/>
      <c r="N227" s="805"/>
      <c r="O227" s="805"/>
      <c r="P227" s="805"/>
      <c r="Q227" s="805"/>
      <c r="R227" s="805"/>
      <c r="S227" s="806">
        <v>0</v>
      </c>
      <c r="T227" s="752"/>
    </row>
    <row r="228" spans="1:20" hidden="1">
      <c r="A228" s="1066"/>
      <c r="B228" s="804" t="s">
        <v>136</v>
      </c>
      <c r="C228" s="805"/>
      <c r="D228" s="805"/>
      <c r="E228" s="805"/>
      <c r="F228" s="805"/>
      <c r="G228" s="805"/>
      <c r="H228" s="805"/>
      <c r="I228" s="805"/>
      <c r="J228" s="805"/>
      <c r="K228" s="805"/>
      <c r="L228" s="805"/>
      <c r="M228" s="805"/>
      <c r="N228" s="805"/>
      <c r="O228" s="805"/>
      <c r="P228" s="805"/>
      <c r="Q228" s="805"/>
      <c r="R228" s="805"/>
      <c r="S228" s="806">
        <v>0</v>
      </c>
      <c r="T228" s="752"/>
    </row>
    <row r="229" spans="1:20" ht="14.4" thickBot="1">
      <c r="A229" s="1067"/>
      <c r="B229" s="773" t="s">
        <v>109</v>
      </c>
      <c r="C229" s="774">
        <v>41</v>
      </c>
      <c r="D229" s="774">
        <v>41</v>
      </c>
      <c r="E229" s="774">
        <v>52</v>
      </c>
      <c r="F229" s="774">
        <v>41</v>
      </c>
      <c r="G229" s="774">
        <v>41</v>
      </c>
      <c r="H229" s="774">
        <v>47</v>
      </c>
      <c r="I229" s="774">
        <v>40</v>
      </c>
      <c r="J229" s="774">
        <v>41</v>
      </c>
      <c r="K229" s="774">
        <v>52</v>
      </c>
      <c r="L229" s="774">
        <v>41</v>
      </c>
      <c r="M229" s="774">
        <v>41</v>
      </c>
      <c r="N229" s="774">
        <v>52</v>
      </c>
      <c r="O229" s="774">
        <v>134</v>
      </c>
      <c r="P229" s="774">
        <v>129</v>
      </c>
      <c r="Q229" s="774">
        <v>133</v>
      </c>
      <c r="R229" s="774">
        <v>134</v>
      </c>
      <c r="S229" s="776">
        <v>530</v>
      </c>
      <c r="T229" s="792">
        <v>10.192307692307692</v>
      </c>
    </row>
    <row r="230" spans="1:20">
      <c r="A230" s="1065" t="s">
        <v>246</v>
      </c>
      <c r="B230" s="765" t="s">
        <v>141</v>
      </c>
      <c r="C230" s="766">
        <v>783</v>
      </c>
      <c r="D230" s="766">
        <v>768</v>
      </c>
      <c r="E230" s="766">
        <v>934</v>
      </c>
      <c r="F230" s="766">
        <v>725</v>
      </c>
      <c r="G230" s="766">
        <v>727</v>
      </c>
      <c r="H230" s="766">
        <v>774</v>
      </c>
      <c r="I230" s="766">
        <v>686</v>
      </c>
      <c r="J230" s="766">
        <v>694</v>
      </c>
      <c r="K230" s="766">
        <v>854</v>
      </c>
      <c r="L230" s="766">
        <v>628</v>
      </c>
      <c r="M230" s="766">
        <v>668</v>
      </c>
      <c r="N230" s="766">
        <v>881</v>
      </c>
      <c r="O230" s="767">
        <v>2485</v>
      </c>
      <c r="P230" s="767">
        <v>2226</v>
      </c>
      <c r="Q230" s="767">
        <v>2234</v>
      </c>
      <c r="R230" s="767">
        <v>2177</v>
      </c>
      <c r="S230" s="768">
        <v>9122</v>
      </c>
      <c r="T230" s="752"/>
    </row>
    <row r="231" spans="1:20" hidden="1">
      <c r="A231" s="1066"/>
      <c r="B231" s="804" t="s">
        <v>142</v>
      </c>
      <c r="C231" s="805"/>
      <c r="D231" s="805"/>
      <c r="E231" s="805"/>
      <c r="F231" s="805"/>
      <c r="G231" s="805"/>
      <c r="H231" s="805"/>
      <c r="I231" s="805"/>
      <c r="J231" s="805"/>
      <c r="K231" s="805"/>
      <c r="L231" s="805"/>
      <c r="M231" s="805"/>
      <c r="N231" s="805"/>
      <c r="O231" s="805"/>
      <c r="P231" s="805"/>
      <c r="Q231" s="805"/>
      <c r="R231" s="805"/>
      <c r="S231" s="806">
        <v>0</v>
      </c>
      <c r="T231" s="752"/>
    </row>
    <row r="232" spans="1:20" hidden="1">
      <c r="A232" s="1066"/>
      <c r="B232" s="804" t="s">
        <v>136</v>
      </c>
      <c r="C232" s="805"/>
      <c r="D232" s="805"/>
      <c r="E232" s="805"/>
      <c r="F232" s="805"/>
      <c r="G232" s="805"/>
      <c r="H232" s="805"/>
      <c r="I232" s="805"/>
      <c r="J232" s="805"/>
      <c r="K232" s="805"/>
      <c r="L232" s="805"/>
      <c r="M232" s="805"/>
      <c r="N232" s="805"/>
      <c r="O232" s="805"/>
      <c r="P232" s="805"/>
      <c r="Q232" s="805"/>
      <c r="R232" s="805"/>
      <c r="S232" s="806">
        <v>0</v>
      </c>
      <c r="T232" s="752"/>
    </row>
    <row r="233" spans="1:20" ht="14.4" thickBot="1">
      <c r="A233" s="1067"/>
      <c r="B233" s="773" t="s">
        <v>47</v>
      </c>
      <c r="C233" s="774">
        <v>783</v>
      </c>
      <c r="D233" s="774">
        <v>768</v>
      </c>
      <c r="E233" s="774">
        <v>934</v>
      </c>
      <c r="F233" s="774">
        <v>725</v>
      </c>
      <c r="G233" s="774">
        <v>727</v>
      </c>
      <c r="H233" s="774">
        <v>774</v>
      </c>
      <c r="I233" s="774">
        <v>686</v>
      </c>
      <c r="J233" s="774">
        <v>694</v>
      </c>
      <c r="K233" s="774">
        <v>854</v>
      </c>
      <c r="L233" s="774">
        <v>628</v>
      </c>
      <c r="M233" s="774">
        <v>668</v>
      </c>
      <c r="N233" s="774">
        <v>881</v>
      </c>
      <c r="O233" s="774">
        <v>2485</v>
      </c>
      <c r="P233" s="774">
        <v>2226</v>
      </c>
      <c r="Q233" s="774">
        <v>2234</v>
      </c>
      <c r="R233" s="774">
        <v>2177</v>
      </c>
      <c r="S233" s="776">
        <v>9122</v>
      </c>
      <c r="T233" s="792">
        <v>175.42307692307693</v>
      </c>
    </row>
    <row r="234" spans="1:20">
      <c r="A234" s="1065" t="s">
        <v>251</v>
      </c>
      <c r="B234" s="765" t="s">
        <v>141</v>
      </c>
      <c r="C234" s="766">
        <v>1610</v>
      </c>
      <c r="D234" s="766">
        <v>1207</v>
      </c>
      <c r="E234" s="766">
        <v>1923</v>
      </c>
      <c r="F234" s="766">
        <v>1770</v>
      </c>
      <c r="G234" s="766">
        <v>1386</v>
      </c>
      <c r="H234" s="766">
        <v>1532</v>
      </c>
      <c r="I234" s="766">
        <v>1934</v>
      </c>
      <c r="J234" s="766">
        <v>1716</v>
      </c>
      <c r="K234" s="766">
        <v>2320</v>
      </c>
      <c r="L234" s="766">
        <v>1534</v>
      </c>
      <c r="M234" s="766">
        <v>1648</v>
      </c>
      <c r="N234" s="766">
        <v>2681</v>
      </c>
      <c r="O234" s="767">
        <v>4740</v>
      </c>
      <c r="P234" s="767">
        <v>4688</v>
      </c>
      <c r="Q234" s="767">
        <v>5970</v>
      </c>
      <c r="R234" s="767">
        <v>5863</v>
      </c>
      <c r="S234" s="768">
        <v>21261</v>
      </c>
      <c r="T234" s="752"/>
    </row>
    <row r="235" spans="1:20" hidden="1">
      <c r="A235" s="1066"/>
      <c r="B235" s="804" t="s">
        <v>142</v>
      </c>
      <c r="C235" s="805"/>
      <c r="D235" s="805"/>
      <c r="E235" s="805"/>
      <c r="F235" s="805"/>
      <c r="G235" s="805"/>
      <c r="H235" s="805"/>
      <c r="I235" s="805"/>
      <c r="J235" s="805"/>
      <c r="K235" s="805"/>
      <c r="L235" s="805"/>
      <c r="M235" s="805"/>
      <c r="N235" s="805"/>
      <c r="O235" s="805"/>
      <c r="P235" s="805"/>
      <c r="Q235" s="805"/>
      <c r="R235" s="805"/>
      <c r="S235" s="806">
        <v>0</v>
      </c>
      <c r="T235" s="752"/>
    </row>
    <row r="236" spans="1:20" hidden="1">
      <c r="A236" s="1066"/>
      <c r="B236" s="804" t="s">
        <v>136</v>
      </c>
      <c r="C236" s="805"/>
      <c r="D236" s="805"/>
      <c r="E236" s="805"/>
      <c r="F236" s="805"/>
      <c r="G236" s="805"/>
      <c r="H236" s="805"/>
      <c r="I236" s="805"/>
      <c r="J236" s="805"/>
      <c r="K236" s="805"/>
      <c r="L236" s="805"/>
      <c r="M236" s="805"/>
      <c r="N236" s="805"/>
      <c r="O236" s="805"/>
      <c r="P236" s="805"/>
      <c r="Q236" s="805"/>
      <c r="R236" s="805"/>
      <c r="S236" s="806">
        <v>0</v>
      </c>
      <c r="T236" s="752"/>
    </row>
    <row r="237" spans="1:20" ht="14.4" thickBot="1">
      <c r="A237" s="1067"/>
      <c r="B237" s="773" t="s">
        <v>241</v>
      </c>
      <c r="C237" s="774">
        <v>1610</v>
      </c>
      <c r="D237" s="774">
        <v>1207</v>
      </c>
      <c r="E237" s="774">
        <v>1923</v>
      </c>
      <c r="F237" s="774">
        <v>1770</v>
      </c>
      <c r="G237" s="774">
        <v>1386</v>
      </c>
      <c r="H237" s="774">
        <v>1532</v>
      </c>
      <c r="I237" s="774">
        <v>1934</v>
      </c>
      <c r="J237" s="774">
        <v>1716</v>
      </c>
      <c r="K237" s="774">
        <v>2320</v>
      </c>
      <c r="L237" s="774">
        <v>1534</v>
      </c>
      <c r="M237" s="774">
        <v>1648</v>
      </c>
      <c r="N237" s="774">
        <v>2681</v>
      </c>
      <c r="O237" s="774">
        <v>4740</v>
      </c>
      <c r="P237" s="774">
        <v>4688</v>
      </c>
      <c r="Q237" s="774">
        <v>5970</v>
      </c>
      <c r="R237" s="774">
        <v>5863</v>
      </c>
      <c r="S237" s="776">
        <v>21261</v>
      </c>
      <c r="T237" s="792">
        <v>408.86538461538464</v>
      </c>
    </row>
    <row r="238" spans="1:20">
      <c r="A238" s="1065" t="s">
        <v>260</v>
      </c>
      <c r="B238" s="765" t="s">
        <v>141</v>
      </c>
      <c r="C238" s="766">
        <v>119</v>
      </c>
      <c r="D238" s="766">
        <v>93</v>
      </c>
      <c r="E238" s="766">
        <v>145</v>
      </c>
      <c r="F238" s="766">
        <v>128</v>
      </c>
      <c r="G238" s="766">
        <v>102</v>
      </c>
      <c r="H238" s="766">
        <v>109</v>
      </c>
      <c r="I238" s="766">
        <v>168</v>
      </c>
      <c r="J238" s="766">
        <v>135</v>
      </c>
      <c r="K238" s="766">
        <v>207</v>
      </c>
      <c r="L238" s="766">
        <v>125</v>
      </c>
      <c r="M238" s="766">
        <v>121</v>
      </c>
      <c r="N238" s="766">
        <v>181</v>
      </c>
      <c r="O238" s="767">
        <v>357</v>
      </c>
      <c r="P238" s="767">
        <v>339</v>
      </c>
      <c r="Q238" s="767">
        <v>510</v>
      </c>
      <c r="R238" s="767">
        <v>427</v>
      </c>
      <c r="S238" s="768">
        <v>1633</v>
      </c>
      <c r="T238" s="752"/>
    </row>
    <row r="239" spans="1:20" hidden="1">
      <c r="A239" s="1066"/>
      <c r="B239" s="804" t="s">
        <v>142</v>
      </c>
      <c r="C239" s="805"/>
      <c r="D239" s="805"/>
      <c r="E239" s="805"/>
      <c r="F239" s="805"/>
      <c r="G239" s="805"/>
      <c r="H239" s="805"/>
      <c r="I239" s="805"/>
      <c r="J239" s="805"/>
      <c r="K239" s="805"/>
      <c r="L239" s="805"/>
      <c r="M239" s="805"/>
      <c r="N239" s="805"/>
      <c r="O239" s="805"/>
      <c r="P239" s="805"/>
      <c r="Q239" s="805"/>
      <c r="R239" s="805"/>
      <c r="S239" s="806">
        <v>0</v>
      </c>
      <c r="T239" s="752"/>
    </row>
    <row r="240" spans="1:20" hidden="1">
      <c r="A240" s="1066"/>
      <c r="B240" s="804" t="s">
        <v>136</v>
      </c>
      <c r="C240" s="805"/>
      <c r="D240" s="805"/>
      <c r="E240" s="805"/>
      <c r="F240" s="805"/>
      <c r="G240" s="805"/>
      <c r="H240" s="805"/>
      <c r="I240" s="805"/>
      <c r="J240" s="805"/>
      <c r="K240" s="805"/>
      <c r="L240" s="805"/>
      <c r="M240" s="805"/>
      <c r="N240" s="805"/>
      <c r="O240" s="805"/>
      <c r="P240" s="805"/>
      <c r="Q240" s="805"/>
      <c r="R240" s="805"/>
      <c r="S240" s="806">
        <v>0</v>
      </c>
      <c r="T240" s="752"/>
    </row>
    <row r="241" spans="1:20" ht="14.4" thickBot="1">
      <c r="A241" s="1067"/>
      <c r="B241" s="773" t="s">
        <v>267</v>
      </c>
      <c r="C241" s="774">
        <v>119</v>
      </c>
      <c r="D241" s="774">
        <v>93</v>
      </c>
      <c r="E241" s="774">
        <v>145</v>
      </c>
      <c r="F241" s="774">
        <v>128</v>
      </c>
      <c r="G241" s="774">
        <v>102</v>
      </c>
      <c r="H241" s="774">
        <v>109</v>
      </c>
      <c r="I241" s="774">
        <v>168</v>
      </c>
      <c r="J241" s="774">
        <v>135</v>
      </c>
      <c r="K241" s="774">
        <v>207</v>
      </c>
      <c r="L241" s="774">
        <v>125</v>
      </c>
      <c r="M241" s="774">
        <v>121</v>
      </c>
      <c r="N241" s="774">
        <v>181</v>
      </c>
      <c r="O241" s="774">
        <v>357</v>
      </c>
      <c r="P241" s="774">
        <v>339</v>
      </c>
      <c r="Q241" s="774">
        <v>510</v>
      </c>
      <c r="R241" s="774">
        <v>427</v>
      </c>
      <c r="S241" s="776">
        <v>1633</v>
      </c>
      <c r="T241" s="792">
        <v>31.403846153846153</v>
      </c>
    </row>
    <row r="242" spans="1:20">
      <c r="A242" s="1052" t="s">
        <v>268</v>
      </c>
      <c r="B242" s="793" t="s">
        <v>250</v>
      </c>
      <c r="C242" s="794">
        <v>7</v>
      </c>
      <c r="D242" s="794">
        <v>8</v>
      </c>
      <c r="E242" s="794">
        <v>8</v>
      </c>
      <c r="F242" s="794">
        <v>7</v>
      </c>
      <c r="G242" s="794">
        <v>7</v>
      </c>
      <c r="H242" s="794">
        <v>8</v>
      </c>
      <c r="I242" s="794">
        <v>6</v>
      </c>
      <c r="J242" s="794">
        <v>7</v>
      </c>
      <c r="K242" s="794">
        <v>8</v>
      </c>
      <c r="L242" s="794">
        <v>7</v>
      </c>
      <c r="M242" s="794">
        <v>6</v>
      </c>
      <c r="N242" s="794">
        <v>8</v>
      </c>
      <c r="O242" s="794">
        <v>23</v>
      </c>
      <c r="P242" s="794">
        <v>22</v>
      </c>
      <c r="Q242" s="794">
        <v>21</v>
      </c>
      <c r="R242" s="794">
        <v>21</v>
      </c>
      <c r="S242" s="794">
        <v>87</v>
      </c>
      <c r="T242" s="807">
        <v>1.6730769230769234</v>
      </c>
    </row>
    <row r="243" spans="1:20">
      <c r="A243" s="1053"/>
      <c r="B243" s="793" t="s">
        <v>247</v>
      </c>
      <c r="C243" s="794">
        <v>296</v>
      </c>
      <c r="D243" s="794">
        <v>293</v>
      </c>
      <c r="E243" s="794">
        <v>330</v>
      </c>
      <c r="F243" s="794">
        <v>262</v>
      </c>
      <c r="G243" s="794">
        <v>293</v>
      </c>
      <c r="H243" s="794">
        <v>342</v>
      </c>
      <c r="I243" s="794">
        <v>261</v>
      </c>
      <c r="J243" s="794">
        <v>309</v>
      </c>
      <c r="K243" s="794">
        <v>385</v>
      </c>
      <c r="L243" s="794">
        <v>261</v>
      </c>
      <c r="M243" s="794">
        <v>199</v>
      </c>
      <c r="N243" s="794">
        <v>269</v>
      </c>
      <c r="O243" s="794">
        <v>919</v>
      </c>
      <c r="P243" s="794">
        <v>897</v>
      </c>
      <c r="Q243" s="794">
        <v>955</v>
      </c>
      <c r="R243" s="794">
        <v>729</v>
      </c>
      <c r="S243" s="794">
        <v>3500</v>
      </c>
      <c r="T243" s="807">
        <v>67.307692307692292</v>
      </c>
    </row>
    <row r="244" spans="1:20">
      <c r="A244" s="1054"/>
      <c r="B244" s="793" t="s">
        <v>261</v>
      </c>
      <c r="C244" s="808">
        <v>42.285714285714285</v>
      </c>
      <c r="D244" s="808">
        <v>36.625</v>
      </c>
      <c r="E244" s="808">
        <v>41.25</v>
      </c>
      <c r="F244" s="808">
        <v>37.428571428571431</v>
      </c>
      <c r="G244" s="808">
        <v>41.857142857142854</v>
      </c>
      <c r="H244" s="808">
        <v>42.75</v>
      </c>
      <c r="I244" s="808">
        <v>43.5</v>
      </c>
      <c r="J244" s="808">
        <v>44.142857142857146</v>
      </c>
      <c r="K244" s="808">
        <v>48.125</v>
      </c>
      <c r="L244" s="808">
        <v>37.285714285714285</v>
      </c>
      <c r="M244" s="808">
        <v>33.166666666666664</v>
      </c>
      <c r="N244" s="808">
        <v>33.625</v>
      </c>
      <c r="O244" s="808">
        <v>39.956521739130437</v>
      </c>
      <c r="P244" s="808">
        <v>40.772727272727273</v>
      </c>
      <c r="Q244" s="808">
        <v>45.476190476190474</v>
      </c>
      <c r="R244" s="808">
        <v>34.714285714285715</v>
      </c>
      <c r="S244" s="808">
        <v>40.229885057471265</v>
      </c>
      <c r="T244" s="809">
        <v>40.22988505747125</v>
      </c>
    </row>
    <row r="245" spans="1:20" ht="6" hidden="1" customHeight="1">
      <c r="A245" s="810"/>
      <c r="B245" s="811"/>
      <c r="C245" s="811"/>
      <c r="D245" s="811"/>
      <c r="E245" s="811"/>
      <c r="F245" s="811"/>
      <c r="G245" s="811"/>
      <c r="H245" s="811"/>
      <c r="I245" s="811"/>
      <c r="J245" s="811"/>
      <c r="K245" s="811"/>
      <c r="L245" s="811"/>
      <c r="M245" s="811"/>
      <c r="N245" s="811"/>
      <c r="O245" s="811"/>
      <c r="P245" s="811"/>
      <c r="Q245" s="811"/>
      <c r="R245" s="811"/>
      <c r="S245" s="785"/>
      <c r="T245" s="785"/>
    </row>
    <row r="246" spans="1:20" hidden="1">
      <c r="A246" s="1061" t="s">
        <v>229</v>
      </c>
      <c r="B246" s="812" t="s">
        <v>187</v>
      </c>
      <c r="C246" s="813">
        <v>0</v>
      </c>
      <c r="D246" s="813">
        <v>0</v>
      </c>
      <c r="E246" s="813">
        <v>0</v>
      </c>
      <c r="F246" s="813">
        <v>0</v>
      </c>
      <c r="G246" s="813">
        <v>0</v>
      </c>
      <c r="H246" s="813">
        <v>0</v>
      </c>
      <c r="I246" s="813">
        <v>0</v>
      </c>
      <c r="J246" s="813">
        <v>0</v>
      </c>
      <c r="K246" s="813">
        <v>0</v>
      </c>
      <c r="L246" s="813">
        <v>0</v>
      </c>
      <c r="M246" s="813">
        <v>0</v>
      </c>
      <c r="N246" s="813">
        <v>0</v>
      </c>
      <c r="O246" s="813">
        <v>0</v>
      </c>
      <c r="P246" s="813">
        <v>0</v>
      </c>
      <c r="Q246" s="813">
        <v>0</v>
      </c>
      <c r="R246" s="813">
        <v>0</v>
      </c>
      <c r="S246" s="814">
        <v>0</v>
      </c>
      <c r="T246" s="752"/>
    </row>
    <row r="247" spans="1:20" hidden="1">
      <c r="A247" s="1062"/>
      <c r="B247" s="815" t="s">
        <v>244</v>
      </c>
      <c r="C247" s="816"/>
      <c r="D247" s="816"/>
      <c r="E247" s="816"/>
      <c r="F247" s="816"/>
      <c r="G247" s="816"/>
      <c r="H247" s="816"/>
      <c r="I247" s="816"/>
      <c r="J247" s="816"/>
      <c r="K247" s="816"/>
      <c r="L247" s="816"/>
      <c r="M247" s="816"/>
      <c r="N247" s="816"/>
      <c r="O247" s="816">
        <v>0</v>
      </c>
      <c r="P247" s="816">
        <v>0</v>
      </c>
      <c r="Q247" s="816">
        <v>0</v>
      </c>
      <c r="R247" s="816">
        <v>0</v>
      </c>
      <c r="S247" s="817">
        <v>0</v>
      </c>
      <c r="T247" s="792">
        <v>0</v>
      </c>
    </row>
    <row r="248" spans="1:20" ht="14.4" hidden="1" thickBot="1">
      <c r="A248" s="1063"/>
      <c r="B248" s="818" t="s">
        <v>225</v>
      </c>
      <c r="C248" s="819"/>
      <c r="D248" s="819"/>
      <c r="E248" s="819"/>
      <c r="F248" s="819"/>
      <c r="G248" s="819"/>
      <c r="H248" s="819"/>
      <c r="I248" s="819"/>
      <c r="J248" s="819"/>
      <c r="K248" s="819"/>
      <c r="L248" s="819"/>
      <c r="M248" s="819"/>
      <c r="N248" s="819"/>
      <c r="O248" s="819">
        <v>0</v>
      </c>
      <c r="P248" s="819">
        <v>0</v>
      </c>
      <c r="Q248" s="819">
        <v>0</v>
      </c>
      <c r="R248" s="819">
        <v>0</v>
      </c>
      <c r="S248" s="820">
        <v>0</v>
      </c>
      <c r="T248" s="821">
        <v>0</v>
      </c>
    </row>
    <row r="249" spans="1:20" hidden="1">
      <c r="A249" s="1059" t="s">
        <v>248</v>
      </c>
      <c r="B249" s="822" t="s">
        <v>141</v>
      </c>
      <c r="C249" s="805"/>
      <c r="D249" s="805"/>
      <c r="E249" s="805"/>
      <c r="F249" s="805"/>
      <c r="G249" s="805"/>
      <c r="H249" s="805"/>
      <c r="I249" s="805"/>
      <c r="J249" s="805"/>
      <c r="K249" s="805"/>
      <c r="L249" s="805"/>
      <c r="M249" s="805"/>
      <c r="N249" s="805"/>
      <c r="O249" s="805"/>
      <c r="P249" s="805"/>
      <c r="Q249" s="805"/>
      <c r="R249" s="805"/>
      <c r="S249" s="823">
        <v>0</v>
      </c>
      <c r="T249" s="769"/>
    </row>
    <row r="250" spans="1:20" hidden="1">
      <c r="A250" s="1060"/>
      <c r="B250" s="770" t="s">
        <v>142</v>
      </c>
      <c r="C250" s="805"/>
      <c r="D250" s="805"/>
      <c r="E250" s="805"/>
      <c r="F250" s="805"/>
      <c r="G250" s="805"/>
      <c r="H250" s="805"/>
      <c r="I250" s="805"/>
      <c r="J250" s="805"/>
      <c r="K250" s="805"/>
      <c r="L250" s="805"/>
      <c r="M250" s="805"/>
      <c r="N250" s="805"/>
      <c r="O250" s="805"/>
      <c r="P250" s="805"/>
      <c r="Q250" s="805"/>
      <c r="R250" s="805"/>
      <c r="S250" s="817">
        <v>0</v>
      </c>
      <c r="T250" s="752"/>
    </row>
    <row r="251" spans="1:20" hidden="1">
      <c r="A251" s="1038" t="s">
        <v>302</v>
      </c>
      <c r="B251" s="770" t="s">
        <v>136</v>
      </c>
      <c r="C251" s="805"/>
      <c r="D251" s="805"/>
      <c r="E251" s="805"/>
      <c r="F251" s="805"/>
      <c r="G251" s="805"/>
      <c r="H251" s="805"/>
      <c r="I251" s="805"/>
      <c r="J251" s="805"/>
      <c r="K251" s="805"/>
      <c r="L251" s="805"/>
      <c r="M251" s="805"/>
      <c r="N251" s="805"/>
      <c r="O251" s="805"/>
      <c r="P251" s="805"/>
      <c r="Q251" s="805"/>
      <c r="R251" s="805"/>
      <c r="S251" s="817">
        <v>0</v>
      </c>
      <c r="T251" s="752"/>
    </row>
    <row r="252" spans="1:20" ht="14.4" hidden="1" thickBot="1">
      <c r="A252" s="1058"/>
      <c r="B252" s="824" t="s">
        <v>45</v>
      </c>
      <c r="C252" s="825">
        <v>0</v>
      </c>
      <c r="D252" s="825">
        <v>0</v>
      </c>
      <c r="E252" s="825">
        <v>0</v>
      </c>
      <c r="F252" s="825">
        <v>0</v>
      </c>
      <c r="G252" s="825">
        <v>0</v>
      </c>
      <c r="H252" s="825">
        <v>0</v>
      </c>
      <c r="I252" s="825">
        <v>0</v>
      </c>
      <c r="J252" s="825">
        <v>0</v>
      </c>
      <c r="K252" s="825">
        <v>0</v>
      </c>
      <c r="L252" s="825">
        <v>0</v>
      </c>
      <c r="M252" s="825">
        <v>0</v>
      </c>
      <c r="N252" s="825">
        <v>0</v>
      </c>
      <c r="O252" s="825">
        <v>0</v>
      </c>
      <c r="P252" s="825">
        <v>0</v>
      </c>
      <c r="Q252" s="825">
        <v>0</v>
      </c>
      <c r="R252" s="825">
        <v>0</v>
      </c>
      <c r="S252" s="825">
        <v>0</v>
      </c>
      <c r="T252" s="792" t="e">
        <v>#DIV/0!</v>
      </c>
    </row>
    <row r="253" spans="1:20" hidden="1">
      <c r="A253" s="1059" t="s">
        <v>245</v>
      </c>
      <c r="B253" s="770" t="s">
        <v>141</v>
      </c>
      <c r="C253" s="805"/>
      <c r="D253" s="805"/>
      <c r="E253" s="805"/>
      <c r="F253" s="805"/>
      <c r="G253" s="805"/>
      <c r="H253" s="805"/>
      <c r="I253" s="805"/>
      <c r="J253" s="805"/>
      <c r="K253" s="805"/>
      <c r="L253" s="805"/>
      <c r="M253" s="805"/>
      <c r="N253" s="805"/>
      <c r="O253" s="805"/>
      <c r="P253" s="805"/>
      <c r="Q253" s="805"/>
      <c r="R253" s="805"/>
      <c r="S253" s="817">
        <v>0</v>
      </c>
      <c r="T253" s="752"/>
    </row>
    <row r="254" spans="1:20" hidden="1">
      <c r="A254" s="1060"/>
      <c r="B254" s="770" t="s">
        <v>142</v>
      </c>
      <c r="C254" s="805"/>
      <c r="D254" s="805"/>
      <c r="E254" s="805"/>
      <c r="F254" s="805"/>
      <c r="G254" s="805"/>
      <c r="H254" s="805"/>
      <c r="I254" s="805"/>
      <c r="J254" s="805"/>
      <c r="K254" s="805"/>
      <c r="L254" s="805"/>
      <c r="M254" s="805"/>
      <c r="N254" s="805"/>
      <c r="O254" s="805"/>
      <c r="P254" s="805"/>
      <c r="Q254" s="805"/>
      <c r="R254" s="805"/>
      <c r="S254" s="817">
        <v>0</v>
      </c>
      <c r="T254" s="752"/>
    </row>
    <row r="255" spans="1:20" hidden="1">
      <c r="A255" s="1060"/>
      <c r="B255" s="770" t="s">
        <v>136</v>
      </c>
      <c r="C255" s="805"/>
      <c r="D255" s="805"/>
      <c r="E255" s="805"/>
      <c r="F255" s="805"/>
      <c r="G255" s="805"/>
      <c r="H255" s="805"/>
      <c r="I255" s="805"/>
      <c r="J255" s="805"/>
      <c r="K255" s="805"/>
      <c r="L255" s="805"/>
      <c r="M255" s="805"/>
      <c r="N255" s="805"/>
      <c r="O255" s="805"/>
      <c r="P255" s="805"/>
      <c r="Q255" s="805"/>
      <c r="R255" s="805"/>
      <c r="S255" s="817">
        <v>0</v>
      </c>
      <c r="T255" s="752"/>
    </row>
    <row r="256" spans="1:20" ht="14.4" hidden="1" thickBot="1">
      <c r="A256" s="1064"/>
      <c r="B256" s="824" t="s">
        <v>46</v>
      </c>
      <c r="C256" s="825">
        <v>0</v>
      </c>
      <c r="D256" s="825">
        <v>0</v>
      </c>
      <c r="E256" s="825">
        <v>0</v>
      </c>
      <c r="F256" s="825">
        <v>0</v>
      </c>
      <c r="G256" s="825">
        <v>0</v>
      </c>
      <c r="H256" s="825">
        <v>0</v>
      </c>
      <c r="I256" s="825">
        <v>0</v>
      </c>
      <c r="J256" s="825">
        <v>0</v>
      </c>
      <c r="K256" s="825">
        <v>0</v>
      </c>
      <c r="L256" s="825">
        <v>0</v>
      </c>
      <c r="M256" s="825">
        <v>0</v>
      </c>
      <c r="N256" s="825">
        <v>0</v>
      </c>
      <c r="O256" s="825">
        <v>0</v>
      </c>
      <c r="P256" s="825">
        <v>0</v>
      </c>
      <c r="Q256" s="825">
        <v>0</v>
      </c>
      <c r="R256" s="825">
        <v>0</v>
      </c>
      <c r="S256" s="825">
        <v>0</v>
      </c>
      <c r="T256" s="792" t="e">
        <v>#DIV/0!</v>
      </c>
    </row>
    <row r="257" spans="1:20" hidden="1">
      <c r="A257" s="1059" t="s">
        <v>249</v>
      </c>
      <c r="B257" s="770" t="s">
        <v>141</v>
      </c>
      <c r="C257" s="805"/>
      <c r="D257" s="805"/>
      <c r="E257" s="805"/>
      <c r="F257" s="805"/>
      <c r="G257" s="805"/>
      <c r="H257" s="805"/>
      <c r="I257" s="805"/>
      <c r="J257" s="805"/>
      <c r="K257" s="805"/>
      <c r="L257" s="805"/>
      <c r="M257" s="805"/>
      <c r="N257" s="805"/>
      <c r="O257" s="805"/>
      <c r="P257" s="805"/>
      <c r="Q257" s="805"/>
      <c r="R257" s="805"/>
      <c r="S257" s="817">
        <v>0</v>
      </c>
      <c r="T257" s="752"/>
    </row>
    <row r="258" spans="1:20" hidden="1">
      <c r="A258" s="1060"/>
      <c r="B258" s="770" t="s">
        <v>142</v>
      </c>
      <c r="C258" s="805"/>
      <c r="D258" s="805"/>
      <c r="E258" s="805"/>
      <c r="F258" s="805"/>
      <c r="G258" s="805"/>
      <c r="H258" s="805"/>
      <c r="I258" s="805"/>
      <c r="J258" s="805"/>
      <c r="K258" s="805"/>
      <c r="L258" s="805"/>
      <c r="M258" s="805"/>
      <c r="N258" s="805"/>
      <c r="O258" s="805"/>
      <c r="P258" s="805"/>
      <c r="Q258" s="805"/>
      <c r="R258" s="805"/>
      <c r="S258" s="817">
        <v>0</v>
      </c>
      <c r="T258" s="752"/>
    </row>
    <row r="259" spans="1:20" hidden="1">
      <c r="A259" s="1038" t="s">
        <v>302</v>
      </c>
      <c r="B259" s="770" t="s">
        <v>136</v>
      </c>
      <c r="C259" s="805"/>
      <c r="D259" s="805"/>
      <c r="E259" s="805"/>
      <c r="F259" s="805"/>
      <c r="G259" s="805"/>
      <c r="H259" s="805"/>
      <c r="I259" s="805"/>
      <c r="J259" s="805"/>
      <c r="K259" s="805"/>
      <c r="L259" s="805"/>
      <c r="M259" s="805"/>
      <c r="N259" s="805"/>
      <c r="O259" s="805"/>
      <c r="P259" s="805"/>
      <c r="Q259" s="805"/>
      <c r="R259" s="805"/>
      <c r="S259" s="817">
        <v>0</v>
      </c>
      <c r="T259" s="752"/>
    </row>
    <row r="260" spans="1:20" ht="14.4" hidden="1" thickBot="1">
      <c r="A260" s="1058"/>
      <c r="B260" s="826" t="s">
        <v>109</v>
      </c>
      <c r="C260" s="827">
        <v>0</v>
      </c>
      <c r="D260" s="827">
        <v>0</v>
      </c>
      <c r="E260" s="827">
        <v>0</v>
      </c>
      <c r="F260" s="827">
        <v>0</v>
      </c>
      <c r="G260" s="827">
        <v>0</v>
      </c>
      <c r="H260" s="827">
        <v>0</v>
      </c>
      <c r="I260" s="827">
        <v>0</v>
      </c>
      <c r="J260" s="827">
        <v>0</v>
      </c>
      <c r="K260" s="827">
        <v>0</v>
      </c>
      <c r="L260" s="827">
        <v>0</v>
      </c>
      <c r="M260" s="827">
        <v>0</v>
      </c>
      <c r="N260" s="827">
        <v>0</v>
      </c>
      <c r="O260" s="827">
        <v>0</v>
      </c>
      <c r="P260" s="827">
        <v>0</v>
      </c>
      <c r="Q260" s="827">
        <v>0</v>
      </c>
      <c r="R260" s="827">
        <v>0</v>
      </c>
      <c r="S260" s="827">
        <v>0</v>
      </c>
      <c r="T260" s="792" t="e">
        <v>#DIV/0!</v>
      </c>
    </row>
    <row r="261" spans="1:20" hidden="1">
      <c r="A261" s="1059" t="s">
        <v>246</v>
      </c>
      <c r="B261" s="770" t="s">
        <v>141</v>
      </c>
      <c r="C261" s="805"/>
      <c r="D261" s="805"/>
      <c r="E261" s="805"/>
      <c r="F261" s="805"/>
      <c r="G261" s="805"/>
      <c r="H261" s="805"/>
      <c r="I261" s="805"/>
      <c r="J261" s="805"/>
      <c r="K261" s="805"/>
      <c r="L261" s="805"/>
      <c r="M261" s="805"/>
      <c r="N261" s="805"/>
      <c r="O261" s="805"/>
      <c r="P261" s="805"/>
      <c r="Q261" s="805"/>
      <c r="R261" s="805"/>
      <c r="S261" s="817">
        <v>0</v>
      </c>
      <c r="T261" s="752"/>
    </row>
    <row r="262" spans="1:20" hidden="1">
      <c r="A262" s="1060"/>
      <c r="B262" s="770" t="s">
        <v>142</v>
      </c>
      <c r="C262" s="805"/>
      <c r="D262" s="805"/>
      <c r="E262" s="805"/>
      <c r="F262" s="805"/>
      <c r="G262" s="805"/>
      <c r="H262" s="805"/>
      <c r="I262" s="805"/>
      <c r="J262" s="805"/>
      <c r="K262" s="805"/>
      <c r="L262" s="805"/>
      <c r="M262" s="805"/>
      <c r="N262" s="805"/>
      <c r="O262" s="805"/>
      <c r="P262" s="805"/>
      <c r="Q262" s="805"/>
      <c r="R262" s="805"/>
      <c r="S262" s="817">
        <v>0</v>
      </c>
      <c r="T262" s="752"/>
    </row>
    <row r="263" spans="1:20" hidden="1">
      <c r="A263" s="1038" t="s">
        <v>302</v>
      </c>
      <c r="B263" s="770" t="s">
        <v>136</v>
      </c>
      <c r="C263" s="805"/>
      <c r="D263" s="805"/>
      <c r="E263" s="805"/>
      <c r="F263" s="805"/>
      <c r="G263" s="805"/>
      <c r="H263" s="805"/>
      <c r="I263" s="805"/>
      <c r="J263" s="805"/>
      <c r="K263" s="805"/>
      <c r="L263" s="805"/>
      <c r="M263" s="805"/>
      <c r="N263" s="805"/>
      <c r="O263" s="805"/>
      <c r="P263" s="805"/>
      <c r="Q263" s="805"/>
      <c r="R263" s="805"/>
      <c r="S263" s="817">
        <v>0</v>
      </c>
      <c r="T263" s="752"/>
    </row>
    <row r="264" spans="1:20" ht="14.4" hidden="1" thickBot="1">
      <c r="A264" s="1058"/>
      <c r="B264" s="826" t="s">
        <v>47</v>
      </c>
      <c r="C264" s="827">
        <v>0</v>
      </c>
      <c r="D264" s="827">
        <v>0</v>
      </c>
      <c r="E264" s="827">
        <v>0</v>
      </c>
      <c r="F264" s="827">
        <v>0</v>
      </c>
      <c r="G264" s="827">
        <v>0</v>
      </c>
      <c r="H264" s="827">
        <v>0</v>
      </c>
      <c r="I264" s="827">
        <v>0</v>
      </c>
      <c r="J264" s="827">
        <v>0</v>
      </c>
      <c r="K264" s="827">
        <v>0</v>
      </c>
      <c r="L264" s="827">
        <v>0</v>
      </c>
      <c r="M264" s="827">
        <v>0</v>
      </c>
      <c r="N264" s="827">
        <v>0</v>
      </c>
      <c r="O264" s="827">
        <v>0</v>
      </c>
      <c r="P264" s="827">
        <v>0</v>
      </c>
      <c r="Q264" s="827">
        <v>0</v>
      </c>
      <c r="R264" s="827">
        <v>0</v>
      </c>
      <c r="S264" s="827">
        <v>0</v>
      </c>
      <c r="T264" s="792" t="e">
        <v>#DIV/0!</v>
      </c>
    </row>
    <row r="265" spans="1:20" hidden="1">
      <c r="A265" s="1059" t="s">
        <v>251</v>
      </c>
      <c r="B265" s="770" t="s">
        <v>141</v>
      </c>
      <c r="C265" s="805"/>
      <c r="D265" s="805"/>
      <c r="E265" s="805"/>
      <c r="F265" s="805"/>
      <c r="G265" s="805"/>
      <c r="H265" s="805"/>
      <c r="I265" s="805"/>
      <c r="J265" s="805"/>
      <c r="K265" s="805"/>
      <c r="L265" s="805"/>
      <c r="M265" s="805"/>
      <c r="N265" s="805"/>
      <c r="O265" s="805"/>
      <c r="P265" s="805"/>
      <c r="Q265" s="805"/>
      <c r="R265" s="805"/>
      <c r="S265" s="817">
        <v>0</v>
      </c>
      <c r="T265" s="752"/>
    </row>
    <row r="266" spans="1:20" hidden="1">
      <c r="A266" s="1060"/>
      <c r="B266" s="770" t="s">
        <v>142</v>
      </c>
      <c r="C266" s="805"/>
      <c r="D266" s="805"/>
      <c r="E266" s="805"/>
      <c r="F266" s="805"/>
      <c r="G266" s="805"/>
      <c r="H266" s="805"/>
      <c r="I266" s="805"/>
      <c r="J266" s="805"/>
      <c r="K266" s="805"/>
      <c r="L266" s="805"/>
      <c r="M266" s="805"/>
      <c r="N266" s="805"/>
      <c r="O266" s="805"/>
      <c r="P266" s="805"/>
      <c r="Q266" s="805"/>
      <c r="R266" s="805"/>
      <c r="S266" s="817">
        <v>0</v>
      </c>
      <c r="T266" s="752"/>
    </row>
    <row r="267" spans="1:20" hidden="1">
      <c r="A267" s="1038" t="s">
        <v>303</v>
      </c>
      <c r="B267" s="770" t="s">
        <v>136</v>
      </c>
      <c r="C267" s="805"/>
      <c r="D267" s="805"/>
      <c r="E267" s="805"/>
      <c r="F267" s="805"/>
      <c r="G267" s="805"/>
      <c r="H267" s="805"/>
      <c r="I267" s="805"/>
      <c r="J267" s="805"/>
      <c r="K267" s="805"/>
      <c r="L267" s="805"/>
      <c r="M267" s="805"/>
      <c r="N267" s="805"/>
      <c r="O267" s="805"/>
      <c r="P267" s="805"/>
      <c r="Q267" s="805"/>
      <c r="R267" s="805"/>
      <c r="S267" s="817">
        <v>0</v>
      </c>
      <c r="T267" s="752"/>
    </row>
    <row r="268" spans="1:20" hidden="1">
      <c r="A268" s="1039"/>
      <c r="B268" s="826" t="s">
        <v>241</v>
      </c>
      <c r="C268" s="827">
        <v>0</v>
      </c>
      <c r="D268" s="827">
        <v>0</v>
      </c>
      <c r="E268" s="827">
        <v>0</v>
      </c>
      <c r="F268" s="827">
        <v>0</v>
      </c>
      <c r="G268" s="827">
        <v>0</v>
      </c>
      <c r="H268" s="827">
        <v>0</v>
      </c>
      <c r="I268" s="827">
        <v>0</v>
      </c>
      <c r="J268" s="827">
        <v>0</v>
      </c>
      <c r="K268" s="827">
        <v>0</v>
      </c>
      <c r="L268" s="827">
        <v>0</v>
      </c>
      <c r="M268" s="827">
        <v>0</v>
      </c>
      <c r="N268" s="827">
        <v>0</v>
      </c>
      <c r="O268" s="827">
        <v>0</v>
      </c>
      <c r="P268" s="827">
        <v>0</v>
      </c>
      <c r="Q268" s="827">
        <v>0</v>
      </c>
      <c r="R268" s="827">
        <v>0</v>
      </c>
      <c r="S268" s="827">
        <v>0</v>
      </c>
      <c r="T268" s="792" t="e">
        <v>#DIV/0!</v>
      </c>
    </row>
    <row r="269" spans="1:20" hidden="1">
      <c r="A269" s="1040" t="s">
        <v>260</v>
      </c>
      <c r="B269" s="770" t="s">
        <v>141</v>
      </c>
      <c r="C269" s="805"/>
      <c r="D269" s="805"/>
      <c r="E269" s="805"/>
      <c r="F269" s="805"/>
      <c r="G269" s="805"/>
      <c r="H269" s="805"/>
      <c r="I269" s="805"/>
      <c r="J269" s="805"/>
      <c r="K269" s="805"/>
      <c r="L269" s="805"/>
      <c r="M269" s="805"/>
      <c r="N269" s="805"/>
      <c r="O269" s="805"/>
      <c r="P269" s="805"/>
      <c r="Q269" s="805"/>
      <c r="R269" s="805"/>
      <c r="S269" s="817">
        <v>0</v>
      </c>
      <c r="T269" s="752"/>
    </row>
    <row r="270" spans="1:20" hidden="1">
      <c r="A270" s="1041"/>
      <c r="B270" s="770" t="s">
        <v>142</v>
      </c>
      <c r="C270" s="805"/>
      <c r="D270" s="805"/>
      <c r="E270" s="805"/>
      <c r="F270" s="805"/>
      <c r="G270" s="805"/>
      <c r="H270" s="805"/>
      <c r="I270" s="805"/>
      <c r="J270" s="805"/>
      <c r="K270" s="805"/>
      <c r="L270" s="805"/>
      <c r="M270" s="805"/>
      <c r="N270" s="805"/>
      <c r="O270" s="805"/>
      <c r="P270" s="805"/>
      <c r="Q270" s="805"/>
      <c r="R270" s="805"/>
      <c r="S270" s="817">
        <v>0</v>
      </c>
      <c r="T270" s="752"/>
    </row>
    <row r="271" spans="1:20" hidden="1">
      <c r="A271" s="1041"/>
      <c r="B271" s="770" t="s">
        <v>136</v>
      </c>
      <c r="C271" s="805"/>
      <c r="D271" s="805"/>
      <c r="E271" s="805"/>
      <c r="F271" s="805"/>
      <c r="G271" s="805"/>
      <c r="H271" s="805"/>
      <c r="I271" s="805"/>
      <c r="J271" s="805"/>
      <c r="K271" s="805"/>
      <c r="L271" s="805"/>
      <c r="M271" s="805"/>
      <c r="N271" s="805"/>
      <c r="O271" s="805"/>
      <c r="P271" s="805"/>
      <c r="Q271" s="805"/>
      <c r="R271" s="805"/>
      <c r="S271" s="817">
        <v>0</v>
      </c>
      <c r="T271" s="752"/>
    </row>
    <row r="272" spans="1:20" hidden="1">
      <c r="A272" s="1042"/>
      <c r="B272" s="824" t="s">
        <v>267</v>
      </c>
      <c r="C272" s="825">
        <v>0</v>
      </c>
      <c r="D272" s="825">
        <v>0</v>
      </c>
      <c r="E272" s="825">
        <v>0</v>
      </c>
      <c r="F272" s="825">
        <v>0</v>
      </c>
      <c r="G272" s="825">
        <v>0</v>
      </c>
      <c r="H272" s="825">
        <v>0</v>
      </c>
      <c r="I272" s="825">
        <v>0</v>
      </c>
      <c r="J272" s="825">
        <v>0</v>
      </c>
      <c r="K272" s="825">
        <v>0</v>
      </c>
      <c r="L272" s="825">
        <v>0</v>
      </c>
      <c r="M272" s="825">
        <v>0</v>
      </c>
      <c r="N272" s="825">
        <v>0</v>
      </c>
      <c r="O272" s="825">
        <v>0</v>
      </c>
      <c r="P272" s="825">
        <v>0</v>
      </c>
      <c r="Q272" s="825">
        <v>0</v>
      </c>
      <c r="R272" s="825">
        <v>0</v>
      </c>
      <c r="S272" s="825">
        <v>0</v>
      </c>
      <c r="T272" s="792" t="e">
        <v>#DIV/0!</v>
      </c>
    </row>
    <row r="273" spans="1:20" hidden="1">
      <c r="A273" s="828"/>
      <c r="B273" s="829"/>
      <c r="C273" s="829"/>
      <c r="D273" s="829"/>
      <c r="E273" s="829"/>
      <c r="F273" s="829"/>
      <c r="G273" s="829"/>
      <c r="H273" s="829"/>
      <c r="I273" s="829"/>
      <c r="J273" s="829"/>
      <c r="K273" s="829"/>
      <c r="L273" s="829"/>
      <c r="M273" s="829"/>
      <c r="N273" s="829"/>
      <c r="O273" s="829"/>
      <c r="P273" s="829"/>
      <c r="Q273" s="829"/>
      <c r="R273" s="829"/>
      <c r="S273" s="783"/>
      <c r="T273" s="783"/>
    </row>
    <row r="274" spans="1:20" hidden="1">
      <c r="A274" s="1043" t="s">
        <v>268</v>
      </c>
      <c r="B274" s="830" t="s">
        <v>250</v>
      </c>
      <c r="C274" s="831">
        <v>0</v>
      </c>
      <c r="D274" s="831">
        <v>0</v>
      </c>
      <c r="E274" s="831">
        <v>0</v>
      </c>
      <c r="F274" s="831">
        <v>0</v>
      </c>
      <c r="G274" s="831">
        <v>0</v>
      </c>
      <c r="H274" s="831">
        <v>0</v>
      </c>
      <c r="I274" s="831">
        <v>0</v>
      </c>
      <c r="J274" s="831">
        <v>0</v>
      </c>
      <c r="K274" s="831">
        <v>0</v>
      </c>
      <c r="L274" s="831">
        <v>0</v>
      </c>
      <c r="M274" s="831">
        <v>0</v>
      </c>
      <c r="N274" s="831">
        <v>0</v>
      </c>
      <c r="O274" s="831">
        <v>0</v>
      </c>
      <c r="P274" s="831">
        <v>0</v>
      </c>
      <c r="Q274" s="831">
        <v>0</v>
      </c>
      <c r="R274" s="831">
        <v>0</v>
      </c>
      <c r="S274" s="831">
        <v>0</v>
      </c>
      <c r="T274" s="796"/>
    </row>
    <row r="275" spans="1:20" hidden="1">
      <c r="A275" s="1044"/>
      <c r="B275" s="830" t="s">
        <v>247</v>
      </c>
      <c r="C275" s="831">
        <v>0</v>
      </c>
      <c r="D275" s="831">
        <v>0</v>
      </c>
      <c r="E275" s="831">
        <v>0</v>
      </c>
      <c r="F275" s="831">
        <v>0</v>
      </c>
      <c r="G275" s="831">
        <v>0</v>
      </c>
      <c r="H275" s="831">
        <v>0</v>
      </c>
      <c r="I275" s="831">
        <v>0</v>
      </c>
      <c r="J275" s="831">
        <v>0</v>
      </c>
      <c r="K275" s="831">
        <v>0</v>
      </c>
      <c r="L275" s="831">
        <v>0</v>
      </c>
      <c r="M275" s="831">
        <v>0</v>
      </c>
      <c r="N275" s="831">
        <v>0</v>
      </c>
      <c r="O275" s="831">
        <v>0</v>
      </c>
      <c r="P275" s="831">
        <v>0</v>
      </c>
      <c r="Q275" s="831">
        <v>0</v>
      </c>
      <c r="R275" s="831">
        <v>0</v>
      </c>
      <c r="S275" s="831">
        <v>0</v>
      </c>
      <c r="T275" s="796"/>
    </row>
    <row r="276" spans="1:20" hidden="1">
      <c r="A276" s="1045"/>
      <c r="B276" s="830" t="s">
        <v>261</v>
      </c>
      <c r="C276" s="832" t="e">
        <v>#DIV/0!</v>
      </c>
      <c r="D276" s="832" t="e">
        <v>#DIV/0!</v>
      </c>
      <c r="E276" s="832" t="e">
        <v>#DIV/0!</v>
      </c>
      <c r="F276" s="832" t="e">
        <v>#DIV/0!</v>
      </c>
      <c r="G276" s="832" t="e">
        <v>#DIV/0!</v>
      </c>
      <c r="H276" s="832" t="e">
        <v>#DIV/0!</v>
      </c>
      <c r="I276" s="832" t="e">
        <v>#DIV/0!</v>
      </c>
      <c r="J276" s="832" t="e">
        <v>#DIV/0!</v>
      </c>
      <c r="K276" s="832" t="e">
        <v>#DIV/0!</v>
      </c>
      <c r="L276" s="832" t="e">
        <v>#DIV/0!</v>
      </c>
      <c r="M276" s="832" t="e">
        <v>#DIV/0!</v>
      </c>
      <c r="N276" s="832" t="e">
        <v>#DIV/0!</v>
      </c>
      <c r="O276" s="832" t="e">
        <v>#DIV/0!</v>
      </c>
      <c r="P276" s="832" t="e">
        <v>#DIV/0!</v>
      </c>
      <c r="Q276" s="832" t="e">
        <v>#DIV/0!</v>
      </c>
      <c r="R276" s="832" t="e">
        <v>#DIV/0!</v>
      </c>
      <c r="S276" s="832" t="e">
        <v>#DIV/0!</v>
      </c>
      <c r="T276" s="796"/>
    </row>
    <row r="277" spans="1:20" ht="6" customHeight="1" thickBot="1">
      <c r="A277" s="810"/>
      <c r="B277" s="811"/>
      <c r="C277" s="811"/>
      <c r="D277" s="811"/>
      <c r="E277" s="811"/>
      <c r="F277" s="811"/>
      <c r="G277" s="811"/>
      <c r="H277" s="811"/>
      <c r="I277" s="811"/>
      <c r="J277" s="811"/>
      <c r="K277" s="811"/>
      <c r="L277" s="811"/>
      <c r="M277" s="811"/>
      <c r="N277" s="811"/>
      <c r="O277" s="811"/>
      <c r="P277" s="811"/>
      <c r="Q277" s="811"/>
      <c r="R277" s="811"/>
      <c r="S277" s="785"/>
      <c r="T277" s="785"/>
    </row>
    <row r="278" spans="1:20">
      <c r="A278" s="1046" t="s">
        <v>262</v>
      </c>
      <c r="B278" s="833" t="s">
        <v>187</v>
      </c>
      <c r="C278" s="787">
        <v>26</v>
      </c>
      <c r="D278" s="787">
        <v>27</v>
      </c>
      <c r="E278" s="787">
        <v>25</v>
      </c>
      <c r="F278" s="787">
        <v>27</v>
      </c>
      <c r="G278" s="787">
        <v>25</v>
      </c>
      <c r="H278" s="787">
        <v>24</v>
      </c>
      <c r="I278" s="787">
        <v>27</v>
      </c>
      <c r="J278" s="787">
        <v>24</v>
      </c>
      <c r="K278" s="787">
        <v>26</v>
      </c>
      <c r="L278" s="787">
        <v>26</v>
      </c>
      <c r="M278" s="787">
        <v>27</v>
      </c>
      <c r="N278" s="787">
        <v>25</v>
      </c>
      <c r="O278" s="787">
        <v>78</v>
      </c>
      <c r="P278" s="787">
        <v>76</v>
      </c>
      <c r="Q278" s="787">
        <v>77</v>
      </c>
      <c r="R278" s="787">
        <v>78</v>
      </c>
      <c r="S278" s="751">
        <v>309</v>
      </c>
      <c r="T278" s="752"/>
    </row>
    <row r="279" spans="1:20">
      <c r="A279" s="1047"/>
      <c r="B279" s="834" t="s">
        <v>336</v>
      </c>
      <c r="C279" s="835">
        <v>3</v>
      </c>
      <c r="D279" s="835">
        <v>3</v>
      </c>
      <c r="E279" s="835">
        <v>3</v>
      </c>
      <c r="F279" s="835">
        <v>3</v>
      </c>
      <c r="G279" s="835">
        <v>3</v>
      </c>
      <c r="H279" s="835">
        <v>3</v>
      </c>
      <c r="I279" s="835">
        <v>3</v>
      </c>
      <c r="J279" s="835">
        <v>3</v>
      </c>
      <c r="K279" s="835">
        <v>3</v>
      </c>
      <c r="L279" s="835">
        <v>3</v>
      </c>
      <c r="M279" s="835">
        <v>3</v>
      </c>
      <c r="N279" s="835">
        <v>3</v>
      </c>
      <c r="O279" s="835">
        <v>3</v>
      </c>
      <c r="P279" s="835">
        <v>3</v>
      </c>
      <c r="Q279" s="835">
        <v>3</v>
      </c>
      <c r="R279" s="835">
        <v>3</v>
      </c>
      <c r="S279" s="756">
        <v>3</v>
      </c>
      <c r="T279" s="752"/>
    </row>
    <row r="280" spans="1:20">
      <c r="A280" s="1047" t="s">
        <v>297</v>
      </c>
      <c r="B280" s="757" t="s">
        <v>337</v>
      </c>
      <c r="C280" s="836">
        <v>5</v>
      </c>
      <c r="D280" s="836">
        <v>5</v>
      </c>
      <c r="E280" s="836">
        <v>5</v>
      </c>
      <c r="F280" s="836">
        <v>5</v>
      </c>
      <c r="G280" s="836">
        <v>5</v>
      </c>
      <c r="H280" s="836">
        <v>5</v>
      </c>
      <c r="I280" s="836">
        <v>5</v>
      </c>
      <c r="J280" s="836">
        <v>5</v>
      </c>
      <c r="K280" s="836">
        <v>5</v>
      </c>
      <c r="L280" s="836">
        <v>5</v>
      </c>
      <c r="M280" s="836">
        <v>5</v>
      </c>
      <c r="N280" s="836">
        <v>5</v>
      </c>
      <c r="O280" s="836">
        <v>5</v>
      </c>
      <c r="P280" s="836">
        <v>5</v>
      </c>
      <c r="Q280" s="836">
        <v>5</v>
      </c>
      <c r="R280" s="836">
        <v>5</v>
      </c>
      <c r="S280" s="760">
        <v>5</v>
      </c>
      <c r="T280" s="752"/>
    </row>
    <row r="281" spans="1:20" ht="14.4" thickBot="1">
      <c r="A281" s="1048"/>
      <c r="B281" s="761" t="s">
        <v>244</v>
      </c>
      <c r="C281" s="837">
        <v>3</v>
      </c>
      <c r="D281" s="837">
        <v>3</v>
      </c>
      <c r="E281" s="837">
        <v>3</v>
      </c>
      <c r="F281" s="837">
        <v>3</v>
      </c>
      <c r="G281" s="837">
        <v>3</v>
      </c>
      <c r="H281" s="837">
        <v>3</v>
      </c>
      <c r="I281" s="837">
        <v>3</v>
      </c>
      <c r="J281" s="837">
        <v>3</v>
      </c>
      <c r="K281" s="837">
        <v>3</v>
      </c>
      <c r="L281" s="837">
        <v>3</v>
      </c>
      <c r="M281" s="837">
        <v>3</v>
      </c>
      <c r="N281" s="837">
        <v>3</v>
      </c>
      <c r="O281" s="837">
        <v>3</v>
      </c>
      <c r="P281" s="837">
        <v>3</v>
      </c>
      <c r="Q281" s="837">
        <v>3</v>
      </c>
      <c r="R281" s="837">
        <v>3</v>
      </c>
      <c r="S281" s="791">
        <v>3</v>
      </c>
      <c r="T281" s="792">
        <v>3</v>
      </c>
    </row>
    <row r="282" spans="1:20">
      <c r="A282" s="1055" t="s">
        <v>248</v>
      </c>
      <c r="B282" s="765" t="s">
        <v>141</v>
      </c>
      <c r="C282" s="781">
        <v>256.37</v>
      </c>
      <c r="D282" s="781">
        <v>278.58</v>
      </c>
      <c r="E282" s="781">
        <v>248.65</v>
      </c>
      <c r="F282" s="781">
        <v>275.89999999999998</v>
      </c>
      <c r="G282" s="781">
        <v>251.23</v>
      </c>
      <c r="H282" s="781">
        <v>238.23</v>
      </c>
      <c r="I282" s="781">
        <v>252.37</v>
      </c>
      <c r="J282" s="781">
        <v>243.93</v>
      </c>
      <c r="K282" s="781">
        <v>265.85000000000002</v>
      </c>
      <c r="L282" s="781">
        <v>254.53</v>
      </c>
      <c r="M282" s="781">
        <v>262.8</v>
      </c>
      <c r="N282" s="781">
        <v>257.08</v>
      </c>
      <c r="O282" s="766">
        <v>783.6</v>
      </c>
      <c r="P282" s="766">
        <v>765.36</v>
      </c>
      <c r="Q282" s="766">
        <v>762.15000000000009</v>
      </c>
      <c r="R282" s="766">
        <v>774.41000000000008</v>
      </c>
      <c r="S282" s="768">
        <v>3085.5200000000004</v>
      </c>
      <c r="T282" s="752"/>
    </row>
    <row r="283" spans="1:20">
      <c r="A283" s="1056"/>
      <c r="B283" s="770" t="s">
        <v>142</v>
      </c>
      <c r="C283" s="782">
        <v>258.08</v>
      </c>
      <c r="D283" s="782">
        <v>281.39999999999998</v>
      </c>
      <c r="E283" s="782">
        <v>235.02</v>
      </c>
      <c r="F283" s="782">
        <v>281.08</v>
      </c>
      <c r="G283" s="782">
        <v>254.42</v>
      </c>
      <c r="H283" s="782">
        <v>228.52</v>
      </c>
      <c r="I283" s="782">
        <v>262.43</v>
      </c>
      <c r="J283" s="782">
        <v>249.77</v>
      </c>
      <c r="K283" s="782">
        <v>262.2</v>
      </c>
      <c r="L283" s="782">
        <v>258.32</v>
      </c>
      <c r="M283" s="782">
        <v>272.8</v>
      </c>
      <c r="N283" s="782">
        <v>254.15</v>
      </c>
      <c r="O283" s="758">
        <v>774.5</v>
      </c>
      <c r="P283" s="758">
        <v>764.02</v>
      </c>
      <c r="Q283" s="758">
        <v>774.40000000000009</v>
      </c>
      <c r="R283" s="758">
        <v>785.27</v>
      </c>
      <c r="S283" s="772">
        <v>3098.1900000000005</v>
      </c>
      <c r="T283" s="752"/>
    </row>
    <row r="284" spans="1:20">
      <c r="A284" s="1056"/>
      <c r="B284" s="770" t="s">
        <v>136</v>
      </c>
      <c r="C284" s="782">
        <v>203.05</v>
      </c>
      <c r="D284" s="782">
        <v>237.77</v>
      </c>
      <c r="E284" s="782">
        <v>184.7</v>
      </c>
      <c r="F284" s="782">
        <v>224.5</v>
      </c>
      <c r="G284" s="782">
        <v>201.5</v>
      </c>
      <c r="H284" s="782">
        <v>184.08</v>
      </c>
      <c r="I284" s="782">
        <v>204.73</v>
      </c>
      <c r="J284" s="782">
        <v>193.68</v>
      </c>
      <c r="K284" s="782">
        <v>203.8</v>
      </c>
      <c r="L284" s="782">
        <v>204.05</v>
      </c>
      <c r="M284" s="782">
        <v>215.35</v>
      </c>
      <c r="N284" s="782">
        <v>195.5</v>
      </c>
      <c r="O284" s="758">
        <v>625.52</v>
      </c>
      <c r="P284" s="758">
        <v>610.08000000000004</v>
      </c>
      <c r="Q284" s="758">
        <v>602.21</v>
      </c>
      <c r="R284" s="758">
        <v>614.9</v>
      </c>
      <c r="S284" s="772">
        <v>2452.71</v>
      </c>
      <c r="T284" s="752"/>
    </row>
    <row r="285" spans="1:20" ht="14.4" thickBot="1">
      <c r="A285" s="1057"/>
      <c r="B285" s="773" t="s">
        <v>45</v>
      </c>
      <c r="C285" s="774">
        <v>717.5</v>
      </c>
      <c r="D285" s="774">
        <v>797.75</v>
      </c>
      <c r="E285" s="774">
        <v>668.37</v>
      </c>
      <c r="F285" s="774">
        <v>781.48</v>
      </c>
      <c r="G285" s="774">
        <v>707.15</v>
      </c>
      <c r="H285" s="774">
        <v>650.83000000000004</v>
      </c>
      <c r="I285" s="774">
        <v>719.53</v>
      </c>
      <c r="J285" s="774">
        <v>687.38000000000011</v>
      </c>
      <c r="K285" s="774">
        <v>731.84999999999991</v>
      </c>
      <c r="L285" s="774">
        <v>716.90000000000009</v>
      </c>
      <c r="M285" s="774">
        <v>750.95</v>
      </c>
      <c r="N285" s="774">
        <v>706.73</v>
      </c>
      <c r="O285" s="775">
        <v>2183.62</v>
      </c>
      <c r="P285" s="775">
        <v>2139.46</v>
      </c>
      <c r="Q285" s="775">
        <v>2138.7600000000002</v>
      </c>
      <c r="R285" s="775">
        <v>2174.58</v>
      </c>
      <c r="S285" s="776">
        <v>8636.4200000000019</v>
      </c>
      <c r="T285" s="792">
        <v>27.949579288025895</v>
      </c>
    </row>
    <row r="286" spans="1:20">
      <c r="A286" s="1055" t="s">
        <v>245</v>
      </c>
      <c r="B286" s="765" t="s">
        <v>141</v>
      </c>
      <c r="C286" s="781">
        <v>5634</v>
      </c>
      <c r="D286" s="781">
        <v>6111</v>
      </c>
      <c r="E286" s="781">
        <v>5398</v>
      </c>
      <c r="F286" s="781">
        <v>5865</v>
      </c>
      <c r="G286" s="781">
        <v>5483</v>
      </c>
      <c r="H286" s="781">
        <v>5181</v>
      </c>
      <c r="I286" s="781">
        <v>5455</v>
      </c>
      <c r="J286" s="781">
        <v>5308</v>
      </c>
      <c r="K286" s="781">
        <v>5789</v>
      </c>
      <c r="L286" s="781">
        <v>5436</v>
      </c>
      <c r="M286" s="781">
        <v>5608</v>
      </c>
      <c r="N286" s="781">
        <v>5507</v>
      </c>
      <c r="O286" s="766">
        <v>17143</v>
      </c>
      <c r="P286" s="766">
        <v>16529</v>
      </c>
      <c r="Q286" s="766">
        <v>16552</v>
      </c>
      <c r="R286" s="766">
        <v>16551</v>
      </c>
      <c r="S286" s="768">
        <v>66775</v>
      </c>
      <c r="T286" s="752"/>
    </row>
    <row r="287" spans="1:20">
      <c r="A287" s="1056"/>
      <c r="B287" s="770" t="s">
        <v>142</v>
      </c>
      <c r="C287" s="782">
        <v>4986</v>
      </c>
      <c r="D287" s="782">
        <v>5369</v>
      </c>
      <c r="E287" s="782">
        <v>4623</v>
      </c>
      <c r="F287" s="782">
        <v>5499</v>
      </c>
      <c r="G287" s="782">
        <v>5062</v>
      </c>
      <c r="H287" s="782">
        <v>4492</v>
      </c>
      <c r="I287" s="782">
        <v>5311</v>
      </c>
      <c r="J287" s="782">
        <v>5004</v>
      </c>
      <c r="K287" s="782">
        <v>5271</v>
      </c>
      <c r="L287" s="782">
        <v>5132</v>
      </c>
      <c r="M287" s="782">
        <v>5482</v>
      </c>
      <c r="N287" s="782">
        <v>5123</v>
      </c>
      <c r="O287" s="758">
        <v>14978</v>
      </c>
      <c r="P287" s="758">
        <v>15053</v>
      </c>
      <c r="Q287" s="758">
        <v>15586</v>
      </c>
      <c r="R287" s="758">
        <v>15737</v>
      </c>
      <c r="S287" s="772">
        <v>61354</v>
      </c>
      <c r="T287" s="752"/>
    </row>
    <row r="288" spans="1:20">
      <c r="A288" s="1056"/>
      <c r="B288" s="770" t="s">
        <v>136</v>
      </c>
      <c r="C288" s="782">
        <v>3632</v>
      </c>
      <c r="D288" s="782">
        <v>3924</v>
      </c>
      <c r="E288" s="782">
        <v>3133</v>
      </c>
      <c r="F288" s="782">
        <v>3769</v>
      </c>
      <c r="G288" s="782">
        <v>3363</v>
      </c>
      <c r="H288" s="782">
        <v>2997</v>
      </c>
      <c r="I288" s="782">
        <v>3277</v>
      </c>
      <c r="J288" s="782">
        <v>3176</v>
      </c>
      <c r="K288" s="782">
        <v>3288</v>
      </c>
      <c r="L288" s="782">
        <v>3322</v>
      </c>
      <c r="M288" s="782">
        <v>3604</v>
      </c>
      <c r="N288" s="782">
        <v>3370</v>
      </c>
      <c r="O288" s="758">
        <v>10689</v>
      </c>
      <c r="P288" s="758">
        <v>10129</v>
      </c>
      <c r="Q288" s="758">
        <v>9741</v>
      </c>
      <c r="R288" s="758">
        <v>10296</v>
      </c>
      <c r="S288" s="772">
        <v>40855</v>
      </c>
      <c r="T288" s="752"/>
    </row>
    <row r="289" spans="1:20" ht="14.4" thickBot="1">
      <c r="A289" s="1057"/>
      <c r="B289" s="773" t="s">
        <v>46</v>
      </c>
      <c r="C289" s="774">
        <v>14252</v>
      </c>
      <c r="D289" s="774">
        <v>15404</v>
      </c>
      <c r="E289" s="774">
        <v>13154</v>
      </c>
      <c r="F289" s="774">
        <v>15133</v>
      </c>
      <c r="G289" s="774">
        <v>13908</v>
      </c>
      <c r="H289" s="774">
        <v>12670</v>
      </c>
      <c r="I289" s="774">
        <v>14043</v>
      </c>
      <c r="J289" s="774">
        <v>13488</v>
      </c>
      <c r="K289" s="774">
        <v>14348</v>
      </c>
      <c r="L289" s="774">
        <v>13890</v>
      </c>
      <c r="M289" s="774">
        <v>14694</v>
      </c>
      <c r="N289" s="774">
        <v>14000</v>
      </c>
      <c r="O289" s="775">
        <v>42810</v>
      </c>
      <c r="P289" s="775">
        <v>41711</v>
      </c>
      <c r="Q289" s="775">
        <v>41879</v>
      </c>
      <c r="R289" s="775">
        <v>42584</v>
      </c>
      <c r="S289" s="776">
        <v>168984</v>
      </c>
      <c r="T289" s="792">
        <v>546.87378640776694</v>
      </c>
    </row>
    <row r="290" spans="1:20">
      <c r="A290" s="1049" t="s">
        <v>249</v>
      </c>
      <c r="B290" s="765" t="s">
        <v>141</v>
      </c>
      <c r="C290" s="781">
        <v>216</v>
      </c>
      <c r="D290" s="781">
        <v>233</v>
      </c>
      <c r="E290" s="781">
        <v>210</v>
      </c>
      <c r="F290" s="781">
        <v>233</v>
      </c>
      <c r="G290" s="781">
        <v>212</v>
      </c>
      <c r="H290" s="781">
        <v>200</v>
      </c>
      <c r="I290" s="781">
        <v>215</v>
      </c>
      <c r="J290" s="781">
        <v>208</v>
      </c>
      <c r="K290" s="781">
        <v>227</v>
      </c>
      <c r="L290" s="781">
        <v>216</v>
      </c>
      <c r="M290" s="781">
        <v>225</v>
      </c>
      <c r="N290" s="781">
        <v>218</v>
      </c>
      <c r="O290" s="766">
        <v>659</v>
      </c>
      <c r="P290" s="766">
        <v>645</v>
      </c>
      <c r="Q290" s="766">
        <v>650</v>
      </c>
      <c r="R290" s="766">
        <v>659</v>
      </c>
      <c r="S290" s="768">
        <v>2613</v>
      </c>
      <c r="T290" s="752"/>
    </row>
    <row r="291" spans="1:20">
      <c r="A291" s="1050"/>
      <c r="B291" s="770" t="s">
        <v>142</v>
      </c>
      <c r="C291" s="782">
        <v>233</v>
      </c>
      <c r="D291" s="782">
        <v>255</v>
      </c>
      <c r="E291" s="782">
        <v>211</v>
      </c>
      <c r="F291" s="782">
        <v>255</v>
      </c>
      <c r="G291" s="782">
        <v>230</v>
      </c>
      <c r="H291" s="782">
        <v>206</v>
      </c>
      <c r="I291" s="782">
        <v>233</v>
      </c>
      <c r="J291" s="782">
        <v>222</v>
      </c>
      <c r="K291" s="782">
        <v>233</v>
      </c>
      <c r="L291" s="782">
        <v>233</v>
      </c>
      <c r="M291" s="782">
        <v>244</v>
      </c>
      <c r="N291" s="782">
        <v>222</v>
      </c>
      <c r="O291" s="758">
        <v>699</v>
      </c>
      <c r="P291" s="758">
        <v>691</v>
      </c>
      <c r="Q291" s="758">
        <v>688</v>
      </c>
      <c r="R291" s="758">
        <v>699</v>
      </c>
      <c r="S291" s="772">
        <v>2777</v>
      </c>
      <c r="T291" s="752"/>
    </row>
    <row r="292" spans="1:20">
      <c r="A292" s="1050"/>
      <c r="B292" s="770" t="s">
        <v>136</v>
      </c>
      <c r="C292" s="782">
        <v>185</v>
      </c>
      <c r="D292" s="782">
        <v>202</v>
      </c>
      <c r="E292" s="782">
        <v>167</v>
      </c>
      <c r="F292" s="782">
        <v>202</v>
      </c>
      <c r="G292" s="782">
        <v>182</v>
      </c>
      <c r="H292" s="782">
        <v>164</v>
      </c>
      <c r="I292" s="782">
        <v>185</v>
      </c>
      <c r="J292" s="782">
        <v>176</v>
      </c>
      <c r="K292" s="782">
        <v>185</v>
      </c>
      <c r="L292" s="782">
        <v>185</v>
      </c>
      <c r="M292" s="782">
        <v>194</v>
      </c>
      <c r="N292" s="782">
        <v>176</v>
      </c>
      <c r="O292" s="758">
        <v>554</v>
      </c>
      <c r="P292" s="758">
        <v>548</v>
      </c>
      <c r="Q292" s="758">
        <v>546</v>
      </c>
      <c r="R292" s="758">
        <v>555</v>
      </c>
      <c r="S292" s="772">
        <v>2203</v>
      </c>
      <c r="T292" s="752"/>
    </row>
    <row r="293" spans="1:20" ht="14.4" thickBot="1">
      <c r="A293" s="1051"/>
      <c r="B293" s="838" t="s">
        <v>109</v>
      </c>
      <c r="C293" s="778">
        <v>634</v>
      </c>
      <c r="D293" s="778">
        <v>690</v>
      </c>
      <c r="E293" s="778">
        <v>588</v>
      </c>
      <c r="F293" s="778">
        <v>690</v>
      </c>
      <c r="G293" s="778">
        <v>624</v>
      </c>
      <c r="H293" s="778">
        <v>570</v>
      </c>
      <c r="I293" s="778">
        <v>633</v>
      </c>
      <c r="J293" s="778">
        <v>606</v>
      </c>
      <c r="K293" s="778">
        <v>645</v>
      </c>
      <c r="L293" s="778">
        <v>634</v>
      </c>
      <c r="M293" s="778">
        <v>663</v>
      </c>
      <c r="N293" s="778">
        <v>616</v>
      </c>
      <c r="O293" s="779">
        <v>1912</v>
      </c>
      <c r="P293" s="779">
        <v>1884</v>
      </c>
      <c r="Q293" s="779">
        <v>1884</v>
      </c>
      <c r="R293" s="779">
        <v>1913</v>
      </c>
      <c r="S293" s="780">
        <v>7593</v>
      </c>
      <c r="T293" s="792">
        <v>24.572815533980581</v>
      </c>
    </row>
    <row r="294" spans="1:20">
      <c r="A294" s="1049" t="s">
        <v>246</v>
      </c>
      <c r="B294" s="765" t="s">
        <v>141</v>
      </c>
      <c r="C294" s="781">
        <v>4025</v>
      </c>
      <c r="D294" s="781">
        <v>4336</v>
      </c>
      <c r="E294" s="781">
        <v>3877</v>
      </c>
      <c r="F294" s="781">
        <v>4203</v>
      </c>
      <c r="G294" s="781">
        <v>3892</v>
      </c>
      <c r="H294" s="781">
        <v>3570</v>
      </c>
      <c r="I294" s="781">
        <v>3923</v>
      </c>
      <c r="J294" s="781">
        <v>3756</v>
      </c>
      <c r="K294" s="781">
        <v>4091</v>
      </c>
      <c r="L294" s="781">
        <v>3874</v>
      </c>
      <c r="M294" s="781">
        <v>4048</v>
      </c>
      <c r="N294" s="781">
        <v>3977</v>
      </c>
      <c r="O294" s="766">
        <v>12238</v>
      </c>
      <c r="P294" s="766">
        <v>11665</v>
      </c>
      <c r="Q294" s="766">
        <v>11770</v>
      </c>
      <c r="R294" s="766">
        <v>11899</v>
      </c>
      <c r="S294" s="768">
        <v>47572</v>
      </c>
      <c r="T294" s="752"/>
    </row>
    <row r="295" spans="1:20">
      <c r="A295" s="1050"/>
      <c r="B295" s="770" t="s">
        <v>142</v>
      </c>
      <c r="C295" s="782">
        <v>4525</v>
      </c>
      <c r="D295" s="782">
        <v>4921</v>
      </c>
      <c r="E295" s="782">
        <v>4157</v>
      </c>
      <c r="F295" s="782">
        <v>5053</v>
      </c>
      <c r="G295" s="782">
        <v>4516</v>
      </c>
      <c r="H295" s="782">
        <v>4046</v>
      </c>
      <c r="I295" s="782">
        <v>4613</v>
      </c>
      <c r="J295" s="782">
        <v>4371</v>
      </c>
      <c r="K295" s="782">
        <v>4552</v>
      </c>
      <c r="L295" s="782">
        <v>4543</v>
      </c>
      <c r="M295" s="782">
        <v>4787</v>
      </c>
      <c r="N295" s="782">
        <v>4394</v>
      </c>
      <c r="O295" s="758">
        <v>13603</v>
      </c>
      <c r="P295" s="758">
        <v>13615</v>
      </c>
      <c r="Q295" s="758">
        <v>13536</v>
      </c>
      <c r="R295" s="758">
        <v>13724</v>
      </c>
      <c r="S295" s="772">
        <v>54478</v>
      </c>
      <c r="T295" s="752"/>
    </row>
    <row r="296" spans="1:20">
      <c r="A296" s="1050"/>
      <c r="B296" s="770" t="s">
        <v>136</v>
      </c>
      <c r="C296" s="782">
        <v>2918</v>
      </c>
      <c r="D296" s="782">
        <v>3220</v>
      </c>
      <c r="E296" s="782">
        <v>2677</v>
      </c>
      <c r="F296" s="782">
        <v>3251</v>
      </c>
      <c r="G296" s="782">
        <v>2963</v>
      </c>
      <c r="H296" s="782">
        <v>2677</v>
      </c>
      <c r="I296" s="782">
        <v>2905</v>
      </c>
      <c r="J296" s="782">
        <v>2784</v>
      </c>
      <c r="K296" s="782">
        <v>2967</v>
      </c>
      <c r="L296" s="782">
        <v>2950</v>
      </c>
      <c r="M296" s="782">
        <v>3170</v>
      </c>
      <c r="N296" s="782">
        <v>2810</v>
      </c>
      <c r="O296" s="758">
        <v>8815</v>
      </c>
      <c r="P296" s="758">
        <v>8891</v>
      </c>
      <c r="Q296" s="758">
        <v>8656</v>
      </c>
      <c r="R296" s="758">
        <v>8930</v>
      </c>
      <c r="S296" s="772">
        <v>35292</v>
      </c>
      <c r="T296" s="752"/>
    </row>
    <row r="297" spans="1:20" ht="14.4" thickBot="1">
      <c r="A297" s="1051"/>
      <c r="B297" s="838" t="s">
        <v>47</v>
      </c>
      <c r="C297" s="778">
        <v>11468</v>
      </c>
      <c r="D297" s="778">
        <v>12477</v>
      </c>
      <c r="E297" s="778">
        <v>10711</v>
      </c>
      <c r="F297" s="778">
        <v>12507</v>
      </c>
      <c r="G297" s="778">
        <v>11371</v>
      </c>
      <c r="H297" s="778">
        <v>10293</v>
      </c>
      <c r="I297" s="778">
        <v>11441</v>
      </c>
      <c r="J297" s="778">
        <v>10911</v>
      </c>
      <c r="K297" s="778">
        <v>11610</v>
      </c>
      <c r="L297" s="778">
        <v>11367</v>
      </c>
      <c r="M297" s="778">
        <v>12005</v>
      </c>
      <c r="N297" s="778">
        <v>11181</v>
      </c>
      <c r="O297" s="779">
        <v>34656</v>
      </c>
      <c r="P297" s="779">
        <v>34171</v>
      </c>
      <c r="Q297" s="779">
        <v>33962</v>
      </c>
      <c r="R297" s="779">
        <v>34553</v>
      </c>
      <c r="S297" s="780">
        <v>137342</v>
      </c>
      <c r="T297" s="792">
        <v>444.4724919093851</v>
      </c>
    </row>
    <row r="298" spans="1:20">
      <c r="A298" s="1055" t="s">
        <v>251</v>
      </c>
      <c r="B298" s="765" t="s">
        <v>141</v>
      </c>
      <c r="C298" s="781">
        <v>10853</v>
      </c>
      <c r="D298" s="781">
        <v>11343</v>
      </c>
      <c r="E298" s="781">
        <v>10219</v>
      </c>
      <c r="F298" s="781">
        <v>12781</v>
      </c>
      <c r="G298" s="781">
        <v>11201</v>
      </c>
      <c r="H298" s="781">
        <v>10027</v>
      </c>
      <c r="I298" s="781">
        <v>13948</v>
      </c>
      <c r="J298" s="781">
        <v>12209</v>
      </c>
      <c r="K298" s="781">
        <v>13758</v>
      </c>
      <c r="L298" s="781">
        <v>13326</v>
      </c>
      <c r="M298" s="781">
        <v>13425</v>
      </c>
      <c r="N298" s="781">
        <v>14631</v>
      </c>
      <c r="O298" s="766">
        <v>32415</v>
      </c>
      <c r="P298" s="766">
        <v>34009</v>
      </c>
      <c r="Q298" s="766">
        <v>39915</v>
      </c>
      <c r="R298" s="766">
        <v>41382</v>
      </c>
      <c r="S298" s="768">
        <v>147721</v>
      </c>
      <c r="T298" s="752"/>
    </row>
    <row r="299" spans="1:20">
      <c r="A299" s="1056"/>
      <c r="B299" s="770" t="s">
        <v>142</v>
      </c>
      <c r="C299" s="782">
        <v>13088</v>
      </c>
      <c r="D299" s="782">
        <v>13701</v>
      </c>
      <c r="E299" s="782">
        <v>13466</v>
      </c>
      <c r="F299" s="782">
        <v>15355</v>
      </c>
      <c r="G299" s="782">
        <v>12345</v>
      </c>
      <c r="H299" s="782">
        <v>10278</v>
      </c>
      <c r="I299" s="782">
        <v>13576</v>
      </c>
      <c r="J299" s="782">
        <v>14885</v>
      </c>
      <c r="K299" s="782">
        <v>14300</v>
      </c>
      <c r="L299" s="782">
        <v>15401</v>
      </c>
      <c r="M299" s="782">
        <v>17239</v>
      </c>
      <c r="N299" s="782">
        <v>15303</v>
      </c>
      <c r="O299" s="758">
        <v>40255</v>
      </c>
      <c r="P299" s="758">
        <v>37978</v>
      </c>
      <c r="Q299" s="758">
        <v>42761</v>
      </c>
      <c r="R299" s="758">
        <v>47943</v>
      </c>
      <c r="S299" s="772">
        <v>168937</v>
      </c>
      <c r="T299" s="752"/>
    </row>
    <row r="300" spans="1:20">
      <c r="A300" s="1056"/>
      <c r="B300" s="770" t="s">
        <v>136</v>
      </c>
      <c r="C300" s="782">
        <v>5571</v>
      </c>
      <c r="D300" s="782">
        <v>6192</v>
      </c>
      <c r="E300" s="782">
        <v>4760</v>
      </c>
      <c r="F300" s="782">
        <v>7433</v>
      </c>
      <c r="G300" s="782">
        <v>6384</v>
      </c>
      <c r="H300" s="782">
        <v>6347</v>
      </c>
      <c r="I300" s="782">
        <v>5284</v>
      </c>
      <c r="J300" s="782">
        <v>5530</v>
      </c>
      <c r="K300" s="782">
        <v>5940</v>
      </c>
      <c r="L300" s="782">
        <v>6916</v>
      </c>
      <c r="M300" s="782">
        <v>7681</v>
      </c>
      <c r="N300" s="782">
        <v>5457</v>
      </c>
      <c r="O300" s="758">
        <v>16523</v>
      </c>
      <c r="P300" s="758">
        <v>20164</v>
      </c>
      <c r="Q300" s="758">
        <v>16754</v>
      </c>
      <c r="R300" s="758">
        <v>20054</v>
      </c>
      <c r="S300" s="772">
        <v>73495</v>
      </c>
      <c r="T300" s="752"/>
    </row>
    <row r="301" spans="1:20" ht="14.4" thickBot="1">
      <c r="A301" s="1057"/>
      <c r="B301" s="773" t="s">
        <v>241</v>
      </c>
      <c r="C301" s="774">
        <v>29512</v>
      </c>
      <c r="D301" s="774">
        <v>31236</v>
      </c>
      <c r="E301" s="774">
        <v>28445</v>
      </c>
      <c r="F301" s="774">
        <v>35569</v>
      </c>
      <c r="G301" s="774">
        <v>29930</v>
      </c>
      <c r="H301" s="774">
        <v>26652</v>
      </c>
      <c r="I301" s="774">
        <v>32808</v>
      </c>
      <c r="J301" s="774">
        <v>32624</v>
      </c>
      <c r="K301" s="774">
        <v>33998</v>
      </c>
      <c r="L301" s="774">
        <v>35643</v>
      </c>
      <c r="M301" s="774">
        <v>38345</v>
      </c>
      <c r="N301" s="774">
        <v>35391</v>
      </c>
      <c r="O301" s="775">
        <v>89193</v>
      </c>
      <c r="P301" s="775">
        <v>92151</v>
      </c>
      <c r="Q301" s="775">
        <v>99430</v>
      </c>
      <c r="R301" s="775">
        <v>109379</v>
      </c>
      <c r="S301" s="776">
        <v>390153</v>
      </c>
      <c r="T301" s="792">
        <v>1262.6310679611649</v>
      </c>
    </row>
    <row r="302" spans="1:20">
      <c r="A302" s="1049" t="s">
        <v>260</v>
      </c>
      <c r="B302" s="765" t="s">
        <v>141</v>
      </c>
      <c r="C302" s="781">
        <v>895</v>
      </c>
      <c r="D302" s="781">
        <v>948</v>
      </c>
      <c r="E302" s="781">
        <v>854</v>
      </c>
      <c r="F302" s="781">
        <v>1043</v>
      </c>
      <c r="G302" s="781">
        <v>936</v>
      </c>
      <c r="H302" s="781">
        <v>838</v>
      </c>
      <c r="I302" s="781">
        <v>1166</v>
      </c>
      <c r="J302" s="781">
        <v>1018</v>
      </c>
      <c r="K302" s="781">
        <v>1141</v>
      </c>
      <c r="L302" s="781">
        <v>1098</v>
      </c>
      <c r="M302" s="781">
        <v>1095</v>
      </c>
      <c r="N302" s="781">
        <v>1125</v>
      </c>
      <c r="O302" s="766">
        <v>2697</v>
      </c>
      <c r="P302" s="766">
        <v>2817</v>
      </c>
      <c r="Q302" s="766">
        <v>3325</v>
      </c>
      <c r="R302" s="766">
        <v>3318</v>
      </c>
      <c r="S302" s="768">
        <v>12157</v>
      </c>
      <c r="T302" s="752"/>
    </row>
    <row r="303" spans="1:20">
      <c r="A303" s="1050"/>
      <c r="B303" s="770" t="s">
        <v>142</v>
      </c>
      <c r="C303" s="782">
        <v>879</v>
      </c>
      <c r="D303" s="782">
        <v>931</v>
      </c>
      <c r="E303" s="782">
        <v>782</v>
      </c>
      <c r="F303" s="782">
        <v>942</v>
      </c>
      <c r="G303" s="782">
        <v>826</v>
      </c>
      <c r="H303" s="782">
        <v>675</v>
      </c>
      <c r="I303" s="782">
        <v>886</v>
      </c>
      <c r="J303" s="782">
        <v>997</v>
      </c>
      <c r="K303" s="782">
        <v>983</v>
      </c>
      <c r="L303" s="782">
        <v>1083</v>
      </c>
      <c r="M303" s="782">
        <v>1218</v>
      </c>
      <c r="N303" s="782">
        <v>1053</v>
      </c>
      <c r="O303" s="758">
        <v>2592</v>
      </c>
      <c r="P303" s="758">
        <v>2443</v>
      </c>
      <c r="Q303" s="758">
        <v>2866</v>
      </c>
      <c r="R303" s="758">
        <v>3354</v>
      </c>
      <c r="S303" s="772">
        <v>11255</v>
      </c>
      <c r="T303" s="752"/>
    </row>
    <row r="304" spans="1:20">
      <c r="A304" s="1050"/>
      <c r="B304" s="770" t="s">
        <v>136</v>
      </c>
      <c r="C304" s="782">
        <v>482</v>
      </c>
      <c r="D304" s="782">
        <v>538</v>
      </c>
      <c r="E304" s="782">
        <v>402</v>
      </c>
      <c r="F304" s="782">
        <v>641</v>
      </c>
      <c r="G304" s="782">
        <v>588</v>
      </c>
      <c r="H304" s="782">
        <v>555</v>
      </c>
      <c r="I304" s="782">
        <v>404</v>
      </c>
      <c r="J304" s="782">
        <v>490</v>
      </c>
      <c r="K304" s="782">
        <v>520</v>
      </c>
      <c r="L304" s="782">
        <v>590</v>
      </c>
      <c r="M304" s="782">
        <v>615</v>
      </c>
      <c r="N304" s="782">
        <v>487</v>
      </c>
      <c r="O304" s="758">
        <v>1422</v>
      </c>
      <c r="P304" s="758">
        <v>1784</v>
      </c>
      <c r="Q304" s="758">
        <v>1414</v>
      </c>
      <c r="R304" s="758">
        <v>1692</v>
      </c>
      <c r="S304" s="772">
        <v>6312</v>
      </c>
      <c r="T304" s="752"/>
    </row>
    <row r="305" spans="1:20" ht="14.4" thickBot="1">
      <c r="A305" s="1051"/>
      <c r="B305" s="838" t="s">
        <v>267</v>
      </c>
      <c r="C305" s="778">
        <v>2256</v>
      </c>
      <c r="D305" s="778">
        <v>2417</v>
      </c>
      <c r="E305" s="778">
        <v>2038</v>
      </c>
      <c r="F305" s="778">
        <v>2626</v>
      </c>
      <c r="G305" s="778">
        <v>2350</v>
      </c>
      <c r="H305" s="778">
        <v>2068</v>
      </c>
      <c r="I305" s="778">
        <v>2456</v>
      </c>
      <c r="J305" s="778">
        <v>2505</v>
      </c>
      <c r="K305" s="778">
        <v>2644</v>
      </c>
      <c r="L305" s="778">
        <v>2771</v>
      </c>
      <c r="M305" s="778">
        <v>2928</v>
      </c>
      <c r="N305" s="778">
        <v>2665</v>
      </c>
      <c r="O305" s="779">
        <v>6711</v>
      </c>
      <c r="P305" s="779">
        <v>7044</v>
      </c>
      <c r="Q305" s="779">
        <v>7605</v>
      </c>
      <c r="R305" s="779">
        <v>8364</v>
      </c>
      <c r="S305" s="780">
        <v>29724</v>
      </c>
      <c r="T305" s="792">
        <v>96.194174757281559</v>
      </c>
    </row>
    <row r="306" spans="1:20">
      <c r="A306" s="1052" t="s">
        <v>268</v>
      </c>
      <c r="B306" s="793" t="s">
        <v>250</v>
      </c>
      <c r="C306" s="794">
        <v>83.5</v>
      </c>
      <c r="D306" s="794">
        <v>107.75</v>
      </c>
      <c r="E306" s="794">
        <v>80.37</v>
      </c>
      <c r="F306" s="794">
        <v>91.480000000000018</v>
      </c>
      <c r="G306" s="794">
        <v>83.149999999999977</v>
      </c>
      <c r="H306" s="794">
        <v>80.830000000000041</v>
      </c>
      <c r="I306" s="794">
        <v>86.529999999999973</v>
      </c>
      <c r="J306" s="794">
        <v>81.380000000000109</v>
      </c>
      <c r="K306" s="794">
        <v>86.849999999999909</v>
      </c>
      <c r="L306" s="794">
        <v>82.900000000000091</v>
      </c>
      <c r="M306" s="794">
        <v>87.950000000000045</v>
      </c>
      <c r="N306" s="794">
        <v>90.730000000000018</v>
      </c>
      <c r="O306" s="794">
        <v>271.62</v>
      </c>
      <c r="P306" s="794">
        <v>255.46000000000004</v>
      </c>
      <c r="Q306" s="794">
        <v>254.76</v>
      </c>
      <c r="R306" s="794">
        <v>261.58000000000015</v>
      </c>
      <c r="S306" s="794">
        <v>1043.42</v>
      </c>
      <c r="T306" s="795">
        <v>3.3767637540453137</v>
      </c>
    </row>
    <row r="307" spans="1:20">
      <c r="A307" s="1053"/>
      <c r="B307" s="793" t="s">
        <v>247</v>
      </c>
      <c r="C307" s="794">
        <v>2784</v>
      </c>
      <c r="D307" s="794">
        <v>2927</v>
      </c>
      <c r="E307" s="794">
        <v>2443</v>
      </c>
      <c r="F307" s="794">
        <v>2626</v>
      </c>
      <c r="G307" s="794">
        <v>2537</v>
      </c>
      <c r="H307" s="794">
        <v>2377</v>
      </c>
      <c r="I307" s="794">
        <v>2602</v>
      </c>
      <c r="J307" s="794">
        <v>2577</v>
      </c>
      <c r="K307" s="794">
        <v>2738</v>
      </c>
      <c r="L307" s="794">
        <v>2523</v>
      </c>
      <c r="M307" s="794">
        <v>2689</v>
      </c>
      <c r="N307" s="794">
        <v>2819</v>
      </c>
      <c r="O307" s="794">
        <v>8154</v>
      </c>
      <c r="P307" s="794">
        <v>7540</v>
      </c>
      <c r="Q307" s="794">
        <v>7917</v>
      </c>
      <c r="R307" s="794">
        <v>8031</v>
      </c>
      <c r="S307" s="794">
        <v>31642</v>
      </c>
      <c r="T307" s="795">
        <v>102.40129449838184</v>
      </c>
    </row>
    <row r="308" spans="1:20">
      <c r="A308" s="1054"/>
      <c r="B308" s="793" t="s">
        <v>261</v>
      </c>
      <c r="C308" s="808">
        <v>33.341317365269461</v>
      </c>
      <c r="D308" s="808">
        <v>27.164733178654291</v>
      </c>
      <c r="E308" s="808">
        <v>30.396914271494335</v>
      </c>
      <c r="F308" s="808">
        <v>28.705728027984254</v>
      </c>
      <c r="G308" s="808">
        <v>30.511124473842461</v>
      </c>
      <c r="H308" s="808">
        <v>29.40739824322651</v>
      </c>
      <c r="I308" s="808">
        <v>30.070495781809786</v>
      </c>
      <c r="J308" s="808">
        <v>31.666257065618044</v>
      </c>
      <c r="K308" s="808">
        <v>31.52561888313187</v>
      </c>
      <c r="L308" s="808">
        <v>30.434258142340134</v>
      </c>
      <c r="M308" s="808">
        <v>30.574189880613968</v>
      </c>
      <c r="N308" s="808">
        <v>31.070208310371424</v>
      </c>
      <c r="O308" s="808">
        <v>30.019880715705764</v>
      </c>
      <c r="P308" s="808">
        <v>29.51538401315274</v>
      </c>
      <c r="Q308" s="808">
        <v>31.076307112576544</v>
      </c>
      <c r="R308" s="808">
        <v>30.701888523587414</v>
      </c>
      <c r="S308" s="808">
        <v>30.325276494604282</v>
      </c>
      <c r="T308" s="809">
        <v>30.325276494604218</v>
      </c>
    </row>
  </sheetData>
  <mergeCells count="88">
    <mergeCell ref="A23:A26"/>
    <mergeCell ref="A88:A90"/>
    <mergeCell ref="A99:A102"/>
    <mergeCell ref="A80:A83"/>
    <mergeCell ref="A140:A143"/>
    <mergeCell ref="A115:A118"/>
    <mergeCell ref="A92:A94"/>
    <mergeCell ref="A109:A110"/>
    <mergeCell ref="A111:A112"/>
    <mergeCell ref="A113:A114"/>
    <mergeCell ref="A95:A96"/>
    <mergeCell ref="A97:A98"/>
    <mergeCell ref="A103:A104"/>
    <mergeCell ref="A105:A106"/>
    <mergeCell ref="A107:A108"/>
    <mergeCell ref="A128:A131"/>
    <mergeCell ref="A34:A37"/>
    <mergeCell ref="A38:A41"/>
    <mergeCell ref="A76:A79"/>
    <mergeCell ref="A72:A75"/>
    <mergeCell ref="A3:A6"/>
    <mergeCell ref="A27:A30"/>
    <mergeCell ref="A11:A14"/>
    <mergeCell ref="A32:A33"/>
    <mergeCell ref="A58:A60"/>
    <mergeCell ref="A42:A45"/>
    <mergeCell ref="A46:A49"/>
    <mergeCell ref="A54:A57"/>
    <mergeCell ref="A50:A53"/>
    <mergeCell ref="A7:A10"/>
    <mergeCell ref="A15:A18"/>
    <mergeCell ref="A19:A22"/>
    <mergeCell ref="A157:A160"/>
    <mergeCell ref="A161:A164"/>
    <mergeCell ref="A64:A67"/>
    <mergeCell ref="A62:A63"/>
    <mergeCell ref="A68:A71"/>
    <mergeCell ref="A84:A87"/>
    <mergeCell ref="A148:A151"/>
    <mergeCell ref="A144:A147"/>
    <mergeCell ref="A152:A154"/>
    <mergeCell ref="A132:A135"/>
    <mergeCell ref="A136:A139"/>
    <mergeCell ref="A126:A127"/>
    <mergeCell ref="A124:A125"/>
    <mergeCell ref="A120:A122"/>
    <mergeCell ref="A165:A168"/>
    <mergeCell ref="A169:A172"/>
    <mergeCell ref="A173:A176"/>
    <mergeCell ref="A177:A180"/>
    <mergeCell ref="A181:A184"/>
    <mergeCell ref="A186:A187"/>
    <mergeCell ref="A188:A191"/>
    <mergeCell ref="A192:A195"/>
    <mergeCell ref="A196:A199"/>
    <mergeCell ref="A200:A203"/>
    <mergeCell ref="A204:A207"/>
    <mergeCell ref="A208:A211"/>
    <mergeCell ref="A212:A214"/>
    <mergeCell ref="A216:A217"/>
    <mergeCell ref="A218:A221"/>
    <mergeCell ref="A222:A225"/>
    <mergeCell ref="A226:A229"/>
    <mergeCell ref="A230:A233"/>
    <mergeCell ref="A234:A237"/>
    <mergeCell ref="A238:A241"/>
    <mergeCell ref="A263:A264"/>
    <mergeCell ref="A265:A266"/>
    <mergeCell ref="A242:A244"/>
    <mergeCell ref="A246:A248"/>
    <mergeCell ref="A249:A250"/>
    <mergeCell ref="A251:A252"/>
    <mergeCell ref="A253:A256"/>
    <mergeCell ref="A257:A258"/>
    <mergeCell ref="A259:A260"/>
    <mergeCell ref="A261:A262"/>
    <mergeCell ref="A302:A305"/>
    <mergeCell ref="A306:A308"/>
    <mergeCell ref="A282:A285"/>
    <mergeCell ref="A286:A289"/>
    <mergeCell ref="A290:A293"/>
    <mergeCell ref="A294:A297"/>
    <mergeCell ref="A298:A301"/>
    <mergeCell ref="A267:A268"/>
    <mergeCell ref="A269:A272"/>
    <mergeCell ref="A274:A276"/>
    <mergeCell ref="A278:A279"/>
    <mergeCell ref="A280:A281"/>
  </mergeCells>
  <dataValidations count="2">
    <dataValidation type="textLength" allowBlank="1" showInputMessage="1" showErrorMessage="1" errorTitle="Not editable" error="This field cannot be edited" sqref="O62:S62 O32:S32 O92:S92 O3:S3 O124:S124">
      <formula1>75</formula1>
      <formula2>76</formula2>
    </dataValidation>
    <dataValidation type="whole" allowBlank="1" showInputMessage="1" showErrorMessage="1" errorTitle="Invalid Data" error="Enter only Monday-Friday operating days for the month" sqref="C92:N92 C32:N32 C62:N62">
      <formula1>0</formula1>
      <formula2>23</formula2>
    </dataValidation>
  </dataValidations>
  <printOptions horizontalCentered="1"/>
  <pageMargins left="0.2" right="0.2" top="0.5" bottom="0.5" header="0.3" footer="0.3"/>
  <pageSetup scale="74" fitToHeight="3" orientation="landscape" r:id="rId1"/>
  <headerFooter>
    <oddFooter>&amp;L&amp;A&amp;R&amp;P</oddFooter>
  </headerFooter>
  <rowBreaks count="2" manualBreakCount="2">
    <brk id="31" max="22" man="1"/>
    <brk id="91" max="22" man="1"/>
  </rowBreaks>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ignoredErrors>
    <ignoredError sqref="C37:N37 C58:C59 D58:S59 S62 D67:R67 C87:S87 D71:R71 C98:S98 C114:R114 C106:R106 D105:R105 C102:R102 S92 S151 C140:N142 C120:S121 C124:S124 C136:N138 C151:N151 C152:S153 S32 D75:R75 D79:R79 D83:R83 D101:R101 D99:R99 D100:R100 D103:R103 D104:R104 C110:R110 D107:R107 D108:R108 D109:R109 C118:R118 D115:R115 D116:R116 D117:R117 C128:N130 C32:N32 C62:K62 C148:C150 D148:N150 C34:C36 D34:N36 D38:N40 C38:C40 D46:N48 C46:C48 C50:C52 D50:N52 C10 C14 C30:R30 C27:N27 C83 C79 C75 C71 C67 C65:C66 C69:C70 C74 C77:C78 C81:C82 C85 O57:S57 D57:N57 C55:C56 C54 C57 C18 C22:N22 C26:N26 C42:N44 T152:T153 O3:S3 C3:N3 M62:N62 C29:I29 C28:I28 L28:N28 L29:N29 S37 C88:S89" unlockedFormula="1"/>
    <ignoredError sqref="C41:N41 C122:S122" evalError="1" unlockedFormula="1"/>
    <ignoredError sqref="B41 T68:T70 T132:T134 T72:T74 T76:T78 T80:T82 T84:T86 T115:T117 T111:T113 T107:T109 T103:T105 T99:T101 T98 T102 T106 T110 T114 T118 T136:T138 T140:T142 T144:T146 T148:T150" evalError="1"/>
    <ignoredError sqref="S41 O41:R41" evalError="1" formula="1" unlockedFormula="1"/>
    <ignoredError sqref="S45 S49 S53 S71 S114 S106 S102 C131:S131 C135:S135 C139:S139 C143:N147 S143 S75 S79 S83 S110 S118 C132:N134 S147 C49:N49 C53 D53:N56 S23:S30 S10 C45:N45 S14:S22 O53:R53 O49:R49 O45:R45 O37:R37 S67" formula="1" unlockedFormula="1"/>
    <ignoredError sqref="O143:R143 S11:S13 O147:R147 O33:R36 O38:R40 O46:R48 O50:R52 O42:R44 S33 O63:S6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47"/>
  <sheetViews>
    <sheetView zoomScale="90" zoomScaleNormal="90" workbookViewId="0">
      <pane xSplit="2" ySplit="5" topLeftCell="C6" activePane="bottomRight" state="frozen"/>
      <selection activeCell="B43" sqref="B43:B53"/>
      <selection pane="topRight" activeCell="B43" sqref="B43:B53"/>
      <selection pane="bottomLeft" activeCell="B43" sqref="B43:B53"/>
      <selection pane="bottomRight" activeCell="P3" sqref="P3"/>
    </sheetView>
  </sheetViews>
  <sheetFormatPr defaultRowHeight="13.2"/>
  <cols>
    <col min="1" max="1" width="19.6640625" bestFit="1" customWidth="1"/>
    <col min="2" max="2" width="30.5546875" customWidth="1"/>
    <col min="3" max="3" width="10.5546875" customWidth="1"/>
    <col min="4" max="4" width="10.44140625" customWidth="1"/>
    <col min="5" max="5" width="12" customWidth="1"/>
    <col min="6" max="6" width="10.44140625" customWidth="1"/>
    <col min="7" max="7" width="11.5546875" customWidth="1"/>
    <col min="8" max="8" width="11.44140625" customWidth="1"/>
    <col min="9" max="9" width="10.44140625" hidden="1" customWidth="1"/>
    <col min="10" max="10" width="11.88671875" hidden="1" customWidth="1"/>
    <col min="11" max="14" width="10.44140625" hidden="1" customWidth="1"/>
    <col min="15" max="15" width="12.109375" style="2" customWidth="1"/>
    <col min="16" max="16" width="11.44140625" style="2" customWidth="1"/>
    <col min="17" max="18" width="11.44140625" style="2" hidden="1" customWidth="1"/>
    <col min="19" max="19" width="11.44140625" style="2" bestFit="1" customWidth="1"/>
    <col min="20" max="20" width="12.6640625" style="2" bestFit="1" customWidth="1"/>
    <col min="21" max="21" width="23.6640625" bestFit="1" customWidth="1"/>
    <col min="22" max="22" width="9.5546875" bestFit="1" customWidth="1"/>
    <col min="24" max="24" width="10.6640625" bestFit="1" customWidth="1"/>
    <col min="255" max="255" width="2.33203125" customWidth="1"/>
    <col min="256" max="256" width="2.6640625" customWidth="1"/>
    <col min="257" max="257" width="29.6640625" bestFit="1" customWidth="1"/>
    <col min="258" max="258" width="24.109375" customWidth="1"/>
    <col min="259" max="259" width="10.5546875" bestFit="1" customWidth="1"/>
    <col min="260" max="260" width="9.5546875" bestFit="1" customWidth="1"/>
    <col min="261" max="261" width="10.88671875" customWidth="1"/>
    <col min="262" max="263" width="9.88671875" bestFit="1" customWidth="1"/>
    <col min="264" max="264" width="10.109375" bestFit="1" customWidth="1"/>
    <col min="265" max="265" width="9.88671875" bestFit="1" customWidth="1"/>
    <col min="266" max="266" width="11.88671875" bestFit="1" customWidth="1"/>
    <col min="267" max="270" width="9.88671875" bestFit="1" customWidth="1"/>
    <col min="271" max="277" width="8.88671875" customWidth="1"/>
    <col min="511" max="511" width="2.33203125" customWidth="1"/>
    <col min="512" max="512" width="2.6640625" customWidth="1"/>
    <col min="513" max="513" width="29.6640625" bestFit="1" customWidth="1"/>
    <col min="514" max="514" width="24.109375" customWidth="1"/>
    <col min="515" max="515" width="10.5546875" bestFit="1" customWidth="1"/>
    <col min="516" max="516" width="9.5546875" bestFit="1" customWidth="1"/>
    <col min="517" max="517" width="10.88671875" customWidth="1"/>
    <col min="518" max="519" width="9.88671875" bestFit="1" customWidth="1"/>
    <col min="520" max="520" width="10.109375" bestFit="1" customWidth="1"/>
    <col min="521" max="521" width="9.88671875" bestFit="1" customWidth="1"/>
    <col min="522" max="522" width="11.88671875" bestFit="1" customWidth="1"/>
    <col min="523" max="526" width="9.88671875" bestFit="1" customWidth="1"/>
    <col min="527" max="533" width="8.88671875" customWidth="1"/>
    <col min="767" max="767" width="2.33203125" customWidth="1"/>
    <col min="768" max="768" width="2.6640625" customWidth="1"/>
    <col min="769" max="769" width="29.6640625" bestFit="1" customWidth="1"/>
    <col min="770" max="770" width="24.109375" customWidth="1"/>
    <col min="771" max="771" width="10.5546875" bestFit="1" customWidth="1"/>
    <col min="772" max="772" width="9.5546875" bestFit="1" customWidth="1"/>
    <col min="773" max="773" width="10.88671875" customWidth="1"/>
    <col min="774" max="775" width="9.88671875" bestFit="1" customWidth="1"/>
    <col min="776" max="776" width="10.109375" bestFit="1" customWidth="1"/>
    <col min="777" max="777" width="9.88671875" bestFit="1" customWidth="1"/>
    <col min="778" max="778" width="11.88671875" bestFit="1" customWidth="1"/>
    <col min="779" max="782" width="9.88671875" bestFit="1" customWidth="1"/>
    <col min="783" max="789" width="8.88671875" customWidth="1"/>
    <col min="1023" max="1023" width="2.33203125" customWidth="1"/>
    <col min="1024" max="1024" width="2.6640625" customWidth="1"/>
    <col min="1025" max="1025" width="29.6640625" bestFit="1" customWidth="1"/>
    <col min="1026" max="1026" width="24.109375" customWidth="1"/>
    <col min="1027" max="1027" width="10.5546875" bestFit="1" customWidth="1"/>
    <col min="1028" max="1028" width="9.5546875" bestFit="1" customWidth="1"/>
    <col min="1029" max="1029" width="10.88671875" customWidth="1"/>
    <col min="1030" max="1031" width="9.88671875" bestFit="1" customWidth="1"/>
    <col min="1032" max="1032" width="10.109375" bestFit="1" customWidth="1"/>
    <col min="1033" max="1033" width="9.88671875" bestFit="1" customWidth="1"/>
    <col min="1034" max="1034" width="11.88671875" bestFit="1" customWidth="1"/>
    <col min="1035" max="1038" width="9.88671875" bestFit="1" customWidth="1"/>
    <col min="1039" max="1045" width="8.88671875" customWidth="1"/>
    <col min="1279" max="1279" width="2.33203125" customWidth="1"/>
    <col min="1280" max="1280" width="2.6640625" customWidth="1"/>
    <col min="1281" max="1281" width="29.6640625" bestFit="1" customWidth="1"/>
    <col min="1282" max="1282" width="24.109375" customWidth="1"/>
    <col min="1283" max="1283" width="10.5546875" bestFit="1" customWidth="1"/>
    <col min="1284" max="1284" width="9.5546875" bestFit="1" customWidth="1"/>
    <col min="1285" max="1285" width="10.88671875" customWidth="1"/>
    <col min="1286" max="1287" width="9.88671875" bestFit="1" customWidth="1"/>
    <col min="1288" max="1288" width="10.109375" bestFit="1" customWidth="1"/>
    <col min="1289" max="1289" width="9.88671875" bestFit="1" customWidth="1"/>
    <col min="1290" max="1290" width="11.88671875" bestFit="1" customWidth="1"/>
    <col min="1291" max="1294" width="9.88671875" bestFit="1" customWidth="1"/>
    <col min="1295" max="1301" width="8.88671875" customWidth="1"/>
    <col min="1535" max="1535" width="2.33203125" customWidth="1"/>
    <col min="1536" max="1536" width="2.6640625" customWidth="1"/>
    <col min="1537" max="1537" width="29.6640625" bestFit="1" customWidth="1"/>
    <col min="1538" max="1538" width="24.109375" customWidth="1"/>
    <col min="1539" max="1539" width="10.5546875" bestFit="1" customWidth="1"/>
    <col min="1540" max="1540" width="9.5546875" bestFit="1" customWidth="1"/>
    <col min="1541" max="1541" width="10.88671875" customWidth="1"/>
    <col min="1542" max="1543" width="9.88671875" bestFit="1" customWidth="1"/>
    <col min="1544" max="1544" width="10.109375" bestFit="1" customWidth="1"/>
    <col min="1545" max="1545" width="9.88671875" bestFit="1" customWidth="1"/>
    <col min="1546" max="1546" width="11.88671875" bestFit="1" customWidth="1"/>
    <col min="1547" max="1550" width="9.88671875" bestFit="1" customWidth="1"/>
    <col min="1551" max="1557" width="8.88671875" customWidth="1"/>
    <col min="1791" max="1791" width="2.33203125" customWidth="1"/>
    <col min="1792" max="1792" width="2.6640625" customWidth="1"/>
    <col min="1793" max="1793" width="29.6640625" bestFit="1" customWidth="1"/>
    <col min="1794" max="1794" width="24.109375" customWidth="1"/>
    <col min="1795" max="1795" width="10.5546875" bestFit="1" customWidth="1"/>
    <col min="1796" max="1796" width="9.5546875" bestFit="1" customWidth="1"/>
    <col min="1797" max="1797" width="10.88671875" customWidth="1"/>
    <col min="1798" max="1799" width="9.88671875" bestFit="1" customWidth="1"/>
    <col min="1800" max="1800" width="10.109375" bestFit="1" customWidth="1"/>
    <col min="1801" max="1801" width="9.88671875" bestFit="1" customWidth="1"/>
    <col min="1802" max="1802" width="11.88671875" bestFit="1" customWidth="1"/>
    <col min="1803" max="1806" width="9.88671875" bestFit="1" customWidth="1"/>
    <col min="1807" max="1813" width="8.88671875" customWidth="1"/>
    <col min="2047" max="2047" width="2.33203125" customWidth="1"/>
    <col min="2048" max="2048" width="2.6640625" customWidth="1"/>
    <col min="2049" max="2049" width="29.6640625" bestFit="1" customWidth="1"/>
    <col min="2050" max="2050" width="24.109375" customWidth="1"/>
    <col min="2051" max="2051" width="10.5546875" bestFit="1" customWidth="1"/>
    <col min="2052" max="2052" width="9.5546875" bestFit="1" customWidth="1"/>
    <col min="2053" max="2053" width="10.88671875" customWidth="1"/>
    <col min="2054" max="2055" width="9.88671875" bestFit="1" customWidth="1"/>
    <col min="2056" max="2056" width="10.109375" bestFit="1" customWidth="1"/>
    <col min="2057" max="2057" width="9.88671875" bestFit="1" customWidth="1"/>
    <col min="2058" max="2058" width="11.88671875" bestFit="1" customWidth="1"/>
    <col min="2059" max="2062" width="9.88671875" bestFit="1" customWidth="1"/>
    <col min="2063" max="2069" width="8.88671875" customWidth="1"/>
    <col min="2303" max="2303" width="2.33203125" customWidth="1"/>
    <col min="2304" max="2304" width="2.6640625" customWidth="1"/>
    <col min="2305" max="2305" width="29.6640625" bestFit="1" customWidth="1"/>
    <col min="2306" max="2306" width="24.109375" customWidth="1"/>
    <col min="2307" max="2307" width="10.5546875" bestFit="1" customWidth="1"/>
    <col min="2308" max="2308" width="9.5546875" bestFit="1" customWidth="1"/>
    <col min="2309" max="2309" width="10.88671875" customWidth="1"/>
    <col min="2310" max="2311" width="9.88671875" bestFit="1" customWidth="1"/>
    <col min="2312" max="2312" width="10.109375" bestFit="1" customWidth="1"/>
    <col min="2313" max="2313" width="9.88671875" bestFit="1" customWidth="1"/>
    <col min="2314" max="2314" width="11.88671875" bestFit="1" customWidth="1"/>
    <col min="2315" max="2318" width="9.88671875" bestFit="1" customWidth="1"/>
    <col min="2319" max="2325" width="8.88671875" customWidth="1"/>
    <col min="2559" max="2559" width="2.33203125" customWidth="1"/>
    <col min="2560" max="2560" width="2.6640625" customWidth="1"/>
    <col min="2561" max="2561" width="29.6640625" bestFit="1" customWidth="1"/>
    <col min="2562" max="2562" width="24.109375" customWidth="1"/>
    <col min="2563" max="2563" width="10.5546875" bestFit="1" customWidth="1"/>
    <col min="2564" max="2564" width="9.5546875" bestFit="1" customWidth="1"/>
    <col min="2565" max="2565" width="10.88671875" customWidth="1"/>
    <col min="2566" max="2567" width="9.88671875" bestFit="1" customWidth="1"/>
    <col min="2568" max="2568" width="10.109375" bestFit="1" customWidth="1"/>
    <col min="2569" max="2569" width="9.88671875" bestFit="1" customWidth="1"/>
    <col min="2570" max="2570" width="11.88671875" bestFit="1" customWidth="1"/>
    <col min="2571" max="2574" width="9.88671875" bestFit="1" customWidth="1"/>
    <col min="2575" max="2581" width="8.88671875" customWidth="1"/>
    <col min="2815" max="2815" width="2.33203125" customWidth="1"/>
    <col min="2816" max="2816" width="2.6640625" customWidth="1"/>
    <col min="2817" max="2817" width="29.6640625" bestFit="1" customWidth="1"/>
    <col min="2818" max="2818" width="24.109375" customWidth="1"/>
    <col min="2819" max="2819" width="10.5546875" bestFit="1" customWidth="1"/>
    <col min="2820" max="2820" width="9.5546875" bestFit="1" customWidth="1"/>
    <col min="2821" max="2821" width="10.88671875" customWidth="1"/>
    <col min="2822" max="2823" width="9.88671875" bestFit="1" customWidth="1"/>
    <col min="2824" max="2824" width="10.109375" bestFit="1" customWidth="1"/>
    <col min="2825" max="2825" width="9.88671875" bestFit="1" customWidth="1"/>
    <col min="2826" max="2826" width="11.88671875" bestFit="1" customWidth="1"/>
    <col min="2827" max="2830" width="9.88671875" bestFit="1" customWidth="1"/>
    <col min="2831" max="2837" width="8.88671875" customWidth="1"/>
    <col min="3071" max="3071" width="2.33203125" customWidth="1"/>
    <col min="3072" max="3072" width="2.6640625" customWidth="1"/>
    <col min="3073" max="3073" width="29.6640625" bestFit="1" customWidth="1"/>
    <col min="3074" max="3074" width="24.109375" customWidth="1"/>
    <col min="3075" max="3075" width="10.5546875" bestFit="1" customWidth="1"/>
    <col min="3076" max="3076" width="9.5546875" bestFit="1" customWidth="1"/>
    <col min="3077" max="3077" width="10.88671875" customWidth="1"/>
    <col min="3078" max="3079" width="9.88671875" bestFit="1" customWidth="1"/>
    <col min="3080" max="3080" width="10.109375" bestFit="1" customWidth="1"/>
    <col min="3081" max="3081" width="9.88671875" bestFit="1" customWidth="1"/>
    <col min="3082" max="3082" width="11.88671875" bestFit="1" customWidth="1"/>
    <col min="3083" max="3086" width="9.88671875" bestFit="1" customWidth="1"/>
    <col min="3087" max="3093" width="8.88671875" customWidth="1"/>
    <col min="3327" max="3327" width="2.33203125" customWidth="1"/>
    <col min="3328" max="3328" width="2.6640625" customWidth="1"/>
    <col min="3329" max="3329" width="29.6640625" bestFit="1" customWidth="1"/>
    <col min="3330" max="3330" width="24.109375" customWidth="1"/>
    <col min="3331" max="3331" width="10.5546875" bestFit="1" customWidth="1"/>
    <col min="3332" max="3332" width="9.5546875" bestFit="1" customWidth="1"/>
    <col min="3333" max="3333" width="10.88671875" customWidth="1"/>
    <col min="3334" max="3335" width="9.88671875" bestFit="1" customWidth="1"/>
    <col min="3336" max="3336" width="10.109375" bestFit="1" customWidth="1"/>
    <col min="3337" max="3337" width="9.88671875" bestFit="1" customWidth="1"/>
    <col min="3338" max="3338" width="11.88671875" bestFit="1" customWidth="1"/>
    <col min="3339" max="3342" width="9.88671875" bestFit="1" customWidth="1"/>
    <col min="3343" max="3349" width="8.88671875" customWidth="1"/>
    <col min="3583" max="3583" width="2.33203125" customWidth="1"/>
    <col min="3584" max="3584" width="2.6640625" customWidth="1"/>
    <col min="3585" max="3585" width="29.6640625" bestFit="1" customWidth="1"/>
    <col min="3586" max="3586" width="24.109375" customWidth="1"/>
    <col min="3587" max="3587" width="10.5546875" bestFit="1" customWidth="1"/>
    <col min="3588" max="3588" width="9.5546875" bestFit="1" customWidth="1"/>
    <col min="3589" max="3589" width="10.88671875" customWidth="1"/>
    <col min="3590" max="3591" width="9.88671875" bestFit="1" customWidth="1"/>
    <col min="3592" max="3592" width="10.109375" bestFit="1" customWidth="1"/>
    <col min="3593" max="3593" width="9.88671875" bestFit="1" customWidth="1"/>
    <col min="3594" max="3594" width="11.88671875" bestFit="1" customWidth="1"/>
    <col min="3595" max="3598" width="9.88671875" bestFit="1" customWidth="1"/>
    <col min="3599" max="3605" width="8.88671875" customWidth="1"/>
    <col min="3839" max="3839" width="2.33203125" customWidth="1"/>
    <col min="3840" max="3840" width="2.6640625" customWidth="1"/>
    <col min="3841" max="3841" width="29.6640625" bestFit="1" customWidth="1"/>
    <col min="3842" max="3842" width="24.109375" customWidth="1"/>
    <col min="3843" max="3843" width="10.5546875" bestFit="1" customWidth="1"/>
    <col min="3844" max="3844" width="9.5546875" bestFit="1" customWidth="1"/>
    <col min="3845" max="3845" width="10.88671875" customWidth="1"/>
    <col min="3846" max="3847" width="9.88671875" bestFit="1" customWidth="1"/>
    <col min="3848" max="3848" width="10.109375" bestFit="1" customWidth="1"/>
    <col min="3849" max="3849" width="9.88671875" bestFit="1" customWidth="1"/>
    <col min="3850" max="3850" width="11.88671875" bestFit="1" customWidth="1"/>
    <col min="3851" max="3854" width="9.88671875" bestFit="1" customWidth="1"/>
    <col min="3855" max="3861" width="8.88671875" customWidth="1"/>
    <col min="4095" max="4095" width="2.33203125" customWidth="1"/>
    <col min="4096" max="4096" width="2.6640625" customWidth="1"/>
    <col min="4097" max="4097" width="29.6640625" bestFit="1" customWidth="1"/>
    <col min="4098" max="4098" width="24.109375" customWidth="1"/>
    <col min="4099" max="4099" width="10.5546875" bestFit="1" customWidth="1"/>
    <col min="4100" max="4100" width="9.5546875" bestFit="1" customWidth="1"/>
    <col min="4101" max="4101" width="10.88671875" customWidth="1"/>
    <col min="4102" max="4103" width="9.88671875" bestFit="1" customWidth="1"/>
    <col min="4104" max="4104" width="10.109375" bestFit="1" customWidth="1"/>
    <col min="4105" max="4105" width="9.88671875" bestFit="1" customWidth="1"/>
    <col min="4106" max="4106" width="11.88671875" bestFit="1" customWidth="1"/>
    <col min="4107" max="4110" width="9.88671875" bestFit="1" customWidth="1"/>
    <col min="4111" max="4117" width="8.88671875" customWidth="1"/>
    <col min="4351" max="4351" width="2.33203125" customWidth="1"/>
    <col min="4352" max="4352" width="2.6640625" customWidth="1"/>
    <col min="4353" max="4353" width="29.6640625" bestFit="1" customWidth="1"/>
    <col min="4354" max="4354" width="24.109375" customWidth="1"/>
    <col min="4355" max="4355" width="10.5546875" bestFit="1" customWidth="1"/>
    <col min="4356" max="4356" width="9.5546875" bestFit="1" customWidth="1"/>
    <col min="4357" max="4357" width="10.88671875" customWidth="1"/>
    <col min="4358" max="4359" width="9.88671875" bestFit="1" customWidth="1"/>
    <col min="4360" max="4360" width="10.109375" bestFit="1" customWidth="1"/>
    <col min="4361" max="4361" width="9.88671875" bestFit="1" customWidth="1"/>
    <col min="4362" max="4362" width="11.88671875" bestFit="1" customWidth="1"/>
    <col min="4363" max="4366" width="9.88671875" bestFit="1" customWidth="1"/>
    <col min="4367" max="4373" width="8.88671875" customWidth="1"/>
    <col min="4607" max="4607" width="2.33203125" customWidth="1"/>
    <col min="4608" max="4608" width="2.6640625" customWidth="1"/>
    <col min="4609" max="4609" width="29.6640625" bestFit="1" customWidth="1"/>
    <col min="4610" max="4610" width="24.109375" customWidth="1"/>
    <col min="4611" max="4611" width="10.5546875" bestFit="1" customWidth="1"/>
    <col min="4612" max="4612" width="9.5546875" bestFit="1" customWidth="1"/>
    <col min="4613" max="4613" width="10.88671875" customWidth="1"/>
    <col min="4614" max="4615" width="9.88671875" bestFit="1" customWidth="1"/>
    <col min="4616" max="4616" width="10.109375" bestFit="1" customWidth="1"/>
    <col min="4617" max="4617" width="9.88671875" bestFit="1" customWidth="1"/>
    <col min="4618" max="4618" width="11.88671875" bestFit="1" customWidth="1"/>
    <col min="4619" max="4622" width="9.88671875" bestFit="1" customWidth="1"/>
    <col min="4623" max="4629" width="8.88671875" customWidth="1"/>
    <col min="4863" max="4863" width="2.33203125" customWidth="1"/>
    <col min="4864" max="4864" width="2.6640625" customWidth="1"/>
    <col min="4865" max="4865" width="29.6640625" bestFit="1" customWidth="1"/>
    <col min="4866" max="4866" width="24.109375" customWidth="1"/>
    <col min="4867" max="4867" width="10.5546875" bestFit="1" customWidth="1"/>
    <col min="4868" max="4868" width="9.5546875" bestFit="1" customWidth="1"/>
    <col min="4869" max="4869" width="10.88671875" customWidth="1"/>
    <col min="4870" max="4871" width="9.88671875" bestFit="1" customWidth="1"/>
    <col min="4872" max="4872" width="10.109375" bestFit="1" customWidth="1"/>
    <col min="4873" max="4873" width="9.88671875" bestFit="1" customWidth="1"/>
    <col min="4874" max="4874" width="11.88671875" bestFit="1" customWidth="1"/>
    <col min="4875" max="4878" width="9.88671875" bestFit="1" customWidth="1"/>
    <col min="4879" max="4885" width="8.88671875" customWidth="1"/>
    <col min="5119" max="5119" width="2.33203125" customWidth="1"/>
    <col min="5120" max="5120" width="2.6640625" customWidth="1"/>
    <col min="5121" max="5121" width="29.6640625" bestFit="1" customWidth="1"/>
    <col min="5122" max="5122" width="24.109375" customWidth="1"/>
    <col min="5123" max="5123" width="10.5546875" bestFit="1" customWidth="1"/>
    <col min="5124" max="5124" width="9.5546875" bestFit="1" customWidth="1"/>
    <col min="5125" max="5125" width="10.88671875" customWidth="1"/>
    <col min="5126" max="5127" width="9.88671875" bestFit="1" customWidth="1"/>
    <col min="5128" max="5128" width="10.109375" bestFit="1" customWidth="1"/>
    <col min="5129" max="5129" width="9.88671875" bestFit="1" customWidth="1"/>
    <col min="5130" max="5130" width="11.88671875" bestFit="1" customWidth="1"/>
    <col min="5131" max="5134" width="9.88671875" bestFit="1" customWidth="1"/>
    <col min="5135" max="5141" width="8.88671875" customWidth="1"/>
    <col min="5375" max="5375" width="2.33203125" customWidth="1"/>
    <col min="5376" max="5376" width="2.6640625" customWidth="1"/>
    <col min="5377" max="5377" width="29.6640625" bestFit="1" customWidth="1"/>
    <col min="5378" max="5378" width="24.109375" customWidth="1"/>
    <col min="5379" max="5379" width="10.5546875" bestFit="1" customWidth="1"/>
    <col min="5380" max="5380" width="9.5546875" bestFit="1" customWidth="1"/>
    <col min="5381" max="5381" width="10.88671875" customWidth="1"/>
    <col min="5382" max="5383" width="9.88671875" bestFit="1" customWidth="1"/>
    <col min="5384" max="5384" width="10.109375" bestFit="1" customWidth="1"/>
    <col min="5385" max="5385" width="9.88671875" bestFit="1" customWidth="1"/>
    <col min="5386" max="5386" width="11.88671875" bestFit="1" customWidth="1"/>
    <col min="5387" max="5390" width="9.88671875" bestFit="1" customWidth="1"/>
    <col min="5391" max="5397" width="8.88671875" customWidth="1"/>
    <col min="5631" max="5631" width="2.33203125" customWidth="1"/>
    <col min="5632" max="5632" width="2.6640625" customWidth="1"/>
    <col min="5633" max="5633" width="29.6640625" bestFit="1" customWidth="1"/>
    <col min="5634" max="5634" width="24.109375" customWidth="1"/>
    <col min="5635" max="5635" width="10.5546875" bestFit="1" customWidth="1"/>
    <col min="5636" max="5636" width="9.5546875" bestFit="1" customWidth="1"/>
    <col min="5637" max="5637" width="10.88671875" customWidth="1"/>
    <col min="5638" max="5639" width="9.88671875" bestFit="1" customWidth="1"/>
    <col min="5640" max="5640" width="10.109375" bestFit="1" customWidth="1"/>
    <col min="5641" max="5641" width="9.88671875" bestFit="1" customWidth="1"/>
    <col min="5642" max="5642" width="11.88671875" bestFit="1" customWidth="1"/>
    <col min="5643" max="5646" width="9.88671875" bestFit="1" customWidth="1"/>
    <col min="5647" max="5653" width="8.88671875" customWidth="1"/>
    <col min="5887" max="5887" width="2.33203125" customWidth="1"/>
    <col min="5888" max="5888" width="2.6640625" customWidth="1"/>
    <col min="5889" max="5889" width="29.6640625" bestFit="1" customWidth="1"/>
    <col min="5890" max="5890" width="24.109375" customWidth="1"/>
    <col min="5891" max="5891" width="10.5546875" bestFit="1" customWidth="1"/>
    <col min="5892" max="5892" width="9.5546875" bestFit="1" customWidth="1"/>
    <col min="5893" max="5893" width="10.88671875" customWidth="1"/>
    <col min="5894" max="5895" width="9.88671875" bestFit="1" customWidth="1"/>
    <col min="5896" max="5896" width="10.109375" bestFit="1" customWidth="1"/>
    <col min="5897" max="5897" width="9.88671875" bestFit="1" customWidth="1"/>
    <col min="5898" max="5898" width="11.88671875" bestFit="1" customWidth="1"/>
    <col min="5899" max="5902" width="9.88671875" bestFit="1" customWidth="1"/>
    <col min="5903" max="5909" width="8.88671875" customWidth="1"/>
    <col min="6143" max="6143" width="2.33203125" customWidth="1"/>
    <col min="6144" max="6144" width="2.6640625" customWidth="1"/>
    <col min="6145" max="6145" width="29.6640625" bestFit="1" customWidth="1"/>
    <col min="6146" max="6146" width="24.109375" customWidth="1"/>
    <col min="6147" max="6147" width="10.5546875" bestFit="1" customWidth="1"/>
    <col min="6148" max="6148" width="9.5546875" bestFit="1" customWidth="1"/>
    <col min="6149" max="6149" width="10.88671875" customWidth="1"/>
    <col min="6150" max="6151" width="9.88671875" bestFit="1" customWidth="1"/>
    <col min="6152" max="6152" width="10.109375" bestFit="1" customWidth="1"/>
    <col min="6153" max="6153" width="9.88671875" bestFit="1" customWidth="1"/>
    <col min="6154" max="6154" width="11.88671875" bestFit="1" customWidth="1"/>
    <col min="6155" max="6158" width="9.88671875" bestFit="1" customWidth="1"/>
    <col min="6159" max="6165" width="8.88671875" customWidth="1"/>
    <col min="6399" max="6399" width="2.33203125" customWidth="1"/>
    <col min="6400" max="6400" width="2.6640625" customWidth="1"/>
    <col min="6401" max="6401" width="29.6640625" bestFit="1" customWidth="1"/>
    <col min="6402" max="6402" width="24.109375" customWidth="1"/>
    <col min="6403" max="6403" width="10.5546875" bestFit="1" customWidth="1"/>
    <col min="6404" max="6404" width="9.5546875" bestFit="1" customWidth="1"/>
    <col min="6405" max="6405" width="10.88671875" customWidth="1"/>
    <col min="6406" max="6407" width="9.88671875" bestFit="1" customWidth="1"/>
    <col min="6408" max="6408" width="10.109375" bestFit="1" customWidth="1"/>
    <col min="6409" max="6409" width="9.88671875" bestFit="1" customWidth="1"/>
    <col min="6410" max="6410" width="11.88671875" bestFit="1" customWidth="1"/>
    <col min="6411" max="6414" width="9.88671875" bestFit="1" customWidth="1"/>
    <col min="6415" max="6421" width="8.88671875" customWidth="1"/>
    <col min="6655" max="6655" width="2.33203125" customWidth="1"/>
    <col min="6656" max="6656" width="2.6640625" customWidth="1"/>
    <col min="6657" max="6657" width="29.6640625" bestFit="1" customWidth="1"/>
    <col min="6658" max="6658" width="24.109375" customWidth="1"/>
    <col min="6659" max="6659" width="10.5546875" bestFit="1" customWidth="1"/>
    <col min="6660" max="6660" width="9.5546875" bestFit="1" customWidth="1"/>
    <col min="6661" max="6661" width="10.88671875" customWidth="1"/>
    <col min="6662" max="6663" width="9.88671875" bestFit="1" customWidth="1"/>
    <col min="6664" max="6664" width="10.109375" bestFit="1" customWidth="1"/>
    <col min="6665" max="6665" width="9.88671875" bestFit="1" customWidth="1"/>
    <col min="6666" max="6666" width="11.88671875" bestFit="1" customWidth="1"/>
    <col min="6667" max="6670" width="9.88671875" bestFit="1" customWidth="1"/>
    <col min="6671" max="6677" width="8.88671875" customWidth="1"/>
    <col min="6911" max="6911" width="2.33203125" customWidth="1"/>
    <col min="6912" max="6912" width="2.6640625" customWidth="1"/>
    <col min="6913" max="6913" width="29.6640625" bestFit="1" customWidth="1"/>
    <col min="6914" max="6914" width="24.109375" customWidth="1"/>
    <col min="6915" max="6915" width="10.5546875" bestFit="1" customWidth="1"/>
    <col min="6916" max="6916" width="9.5546875" bestFit="1" customWidth="1"/>
    <col min="6917" max="6917" width="10.88671875" customWidth="1"/>
    <col min="6918" max="6919" width="9.88671875" bestFit="1" customWidth="1"/>
    <col min="6920" max="6920" width="10.109375" bestFit="1" customWidth="1"/>
    <col min="6921" max="6921" width="9.88671875" bestFit="1" customWidth="1"/>
    <col min="6922" max="6922" width="11.88671875" bestFit="1" customWidth="1"/>
    <col min="6923" max="6926" width="9.88671875" bestFit="1" customWidth="1"/>
    <col min="6927" max="6933" width="8.88671875" customWidth="1"/>
    <col min="7167" max="7167" width="2.33203125" customWidth="1"/>
    <col min="7168" max="7168" width="2.6640625" customWidth="1"/>
    <col min="7169" max="7169" width="29.6640625" bestFit="1" customWidth="1"/>
    <col min="7170" max="7170" width="24.109375" customWidth="1"/>
    <col min="7171" max="7171" width="10.5546875" bestFit="1" customWidth="1"/>
    <col min="7172" max="7172" width="9.5546875" bestFit="1" customWidth="1"/>
    <col min="7173" max="7173" width="10.88671875" customWidth="1"/>
    <col min="7174" max="7175" width="9.88671875" bestFit="1" customWidth="1"/>
    <col min="7176" max="7176" width="10.109375" bestFit="1" customWidth="1"/>
    <col min="7177" max="7177" width="9.88671875" bestFit="1" customWidth="1"/>
    <col min="7178" max="7178" width="11.88671875" bestFit="1" customWidth="1"/>
    <col min="7179" max="7182" width="9.88671875" bestFit="1" customWidth="1"/>
    <col min="7183" max="7189" width="8.88671875" customWidth="1"/>
    <col min="7423" max="7423" width="2.33203125" customWidth="1"/>
    <col min="7424" max="7424" width="2.6640625" customWidth="1"/>
    <col min="7425" max="7425" width="29.6640625" bestFit="1" customWidth="1"/>
    <col min="7426" max="7426" width="24.109375" customWidth="1"/>
    <col min="7427" max="7427" width="10.5546875" bestFit="1" customWidth="1"/>
    <col min="7428" max="7428" width="9.5546875" bestFit="1" customWidth="1"/>
    <col min="7429" max="7429" width="10.88671875" customWidth="1"/>
    <col min="7430" max="7431" width="9.88671875" bestFit="1" customWidth="1"/>
    <col min="7432" max="7432" width="10.109375" bestFit="1" customWidth="1"/>
    <col min="7433" max="7433" width="9.88671875" bestFit="1" customWidth="1"/>
    <col min="7434" max="7434" width="11.88671875" bestFit="1" customWidth="1"/>
    <col min="7435" max="7438" width="9.88671875" bestFit="1" customWidth="1"/>
    <col min="7439" max="7445" width="8.88671875" customWidth="1"/>
    <col min="7679" max="7679" width="2.33203125" customWidth="1"/>
    <col min="7680" max="7680" width="2.6640625" customWidth="1"/>
    <col min="7681" max="7681" width="29.6640625" bestFit="1" customWidth="1"/>
    <col min="7682" max="7682" width="24.109375" customWidth="1"/>
    <col min="7683" max="7683" width="10.5546875" bestFit="1" customWidth="1"/>
    <col min="7684" max="7684" width="9.5546875" bestFit="1" customWidth="1"/>
    <col min="7685" max="7685" width="10.88671875" customWidth="1"/>
    <col min="7686" max="7687" width="9.88671875" bestFit="1" customWidth="1"/>
    <col min="7688" max="7688" width="10.109375" bestFit="1" customWidth="1"/>
    <col min="7689" max="7689" width="9.88671875" bestFit="1" customWidth="1"/>
    <col min="7690" max="7690" width="11.88671875" bestFit="1" customWidth="1"/>
    <col min="7691" max="7694" width="9.88671875" bestFit="1" customWidth="1"/>
    <col min="7695" max="7701" width="8.88671875" customWidth="1"/>
    <col min="7935" max="7935" width="2.33203125" customWidth="1"/>
    <col min="7936" max="7936" width="2.6640625" customWidth="1"/>
    <col min="7937" max="7937" width="29.6640625" bestFit="1" customWidth="1"/>
    <col min="7938" max="7938" width="24.109375" customWidth="1"/>
    <col min="7939" max="7939" width="10.5546875" bestFit="1" customWidth="1"/>
    <col min="7940" max="7940" width="9.5546875" bestFit="1" customWidth="1"/>
    <col min="7941" max="7941" width="10.88671875" customWidth="1"/>
    <col min="7942" max="7943" width="9.88671875" bestFit="1" customWidth="1"/>
    <col min="7944" max="7944" width="10.109375" bestFit="1" customWidth="1"/>
    <col min="7945" max="7945" width="9.88671875" bestFit="1" customWidth="1"/>
    <col min="7946" max="7946" width="11.88671875" bestFit="1" customWidth="1"/>
    <col min="7947" max="7950" width="9.88671875" bestFit="1" customWidth="1"/>
    <col min="7951" max="7957" width="8.88671875" customWidth="1"/>
    <col min="8191" max="8191" width="2.33203125" customWidth="1"/>
    <col min="8192" max="8192" width="2.6640625" customWidth="1"/>
    <col min="8193" max="8193" width="29.6640625" bestFit="1" customWidth="1"/>
    <col min="8194" max="8194" width="24.109375" customWidth="1"/>
    <col min="8195" max="8195" width="10.5546875" bestFit="1" customWidth="1"/>
    <col min="8196" max="8196" width="9.5546875" bestFit="1" customWidth="1"/>
    <col min="8197" max="8197" width="10.88671875" customWidth="1"/>
    <col min="8198" max="8199" width="9.88671875" bestFit="1" customWidth="1"/>
    <col min="8200" max="8200" width="10.109375" bestFit="1" customWidth="1"/>
    <col min="8201" max="8201" width="9.88671875" bestFit="1" customWidth="1"/>
    <col min="8202" max="8202" width="11.88671875" bestFit="1" customWidth="1"/>
    <col min="8203" max="8206" width="9.88671875" bestFit="1" customWidth="1"/>
    <col min="8207" max="8213" width="8.88671875" customWidth="1"/>
    <col min="8447" max="8447" width="2.33203125" customWidth="1"/>
    <col min="8448" max="8448" width="2.6640625" customWidth="1"/>
    <col min="8449" max="8449" width="29.6640625" bestFit="1" customWidth="1"/>
    <col min="8450" max="8450" width="24.109375" customWidth="1"/>
    <col min="8451" max="8451" width="10.5546875" bestFit="1" customWidth="1"/>
    <col min="8452" max="8452" width="9.5546875" bestFit="1" customWidth="1"/>
    <col min="8453" max="8453" width="10.88671875" customWidth="1"/>
    <col min="8454" max="8455" width="9.88671875" bestFit="1" customWidth="1"/>
    <col min="8456" max="8456" width="10.109375" bestFit="1" customWidth="1"/>
    <col min="8457" max="8457" width="9.88671875" bestFit="1" customWidth="1"/>
    <col min="8458" max="8458" width="11.88671875" bestFit="1" customWidth="1"/>
    <col min="8459" max="8462" width="9.88671875" bestFit="1" customWidth="1"/>
    <col min="8463" max="8469" width="8.88671875" customWidth="1"/>
    <col min="8703" max="8703" width="2.33203125" customWidth="1"/>
    <col min="8704" max="8704" width="2.6640625" customWidth="1"/>
    <col min="8705" max="8705" width="29.6640625" bestFit="1" customWidth="1"/>
    <col min="8706" max="8706" width="24.109375" customWidth="1"/>
    <col min="8707" max="8707" width="10.5546875" bestFit="1" customWidth="1"/>
    <col min="8708" max="8708" width="9.5546875" bestFit="1" customWidth="1"/>
    <col min="8709" max="8709" width="10.88671875" customWidth="1"/>
    <col min="8710" max="8711" width="9.88671875" bestFit="1" customWidth="1"/>
    <col min="8712" max="8712" width="10.109375" bestFit="1" customWidth="1"/>
    <col min="8713" max="8713" width="9.88671875" bestFit="1" customWidth="1"/>
    <col min="8714" max="8714" width="11.88671875" bestFit="1" customWidth="1"/>
    <col min="8715" max="8718" width="9.88671875" bestFit="1" customWidth="1"/>
    <col min="8719" max="8725" width="8.88671875" customWidth="1"/>
    <col min="8959" max="8959" width="2.33203125" customWidth="1"/>
    <col min="8960" max="8960" width="2.6640625" customWidth="1"/>
    <col min="8961" max="8961" width="29.6640625" bestFit="1" customWidth="1"/>
    <col min="8962" max="8962" width="24.109375" customWidth="1"/>
    <col min="8963" max="8963" width="10.5546875" bestFit="1" customWidth="1"/>
    <col min="8964" max="8964" width="9.5546875" bestFit="1" customWidth="1"/>
    <col min="8965" max="8965" width="10.88671875" customWidth="1"/>
    <col min="8966" max="8967" width="9.88671875" bestFit="1" customWidth="1"/>
    <col min="8968" max="8968" width="10.109375" bestFit="1" customWidth="1"/>
    <col min="8969" max="8969" width="9.88671875" bestFit="1" customWidth="1"/>
    <col min="8970" max="8970" width="11.88671875" bestFit="1" customWidth="1"/>
    <col min="8971" max="8974" width="9.88671875" bestFit="1" customWidth="1"/>
    <col min="8975" max="8981" width="8.88671875" customWidth="1"/>
    <col min="9215" max="9215" width="2.33203125" customWidth="1"/>
    <col min="9216" max="9216" width="2.6640625" customWidth="1"/>
    <col min="9217" max="9217" width="29.6640625" bestFit="1" customWidth="1"/>
    <col min="9218" max="9218" width="24.109375" customWidth="1"/>
    <col min="9219" max="9219" width="10.5546875" bestFit="1" customWidth="1"/>
    <col min="9220" max="9220" width="9.5546875" bestFit="1" customWidth="1"/>
    <col min="9221" max="9221" width="10.88671875" customWidth="1"/>
    <col min="9222" max="9223" width="9.88671875" bestFit="1" customWidth="1"/>
    <col min="9224" max="9224" width="10.109375" bestFit="1" customWidth="1"/>
    <col min="9225" max="9225" width="9.88671875" bestFit="1" customWidth="1"/>
    <col min="9226" max="9226" width="11.88671875" bestFit="1" customWidth="1"/>
    <col min="9227" max="9230" width="9.88671875" bestFit="1" customWidth="1"/>
    <col min="9231" max="9237" width="8.88671875" customWidth="1"/>
    <col min="9471" max="9471" width="2.33203125" customWidth="1"/>
    <col min="9472" max="9472" width="2.6640625" customWidth="1"/>
    <col min="9473" max="9473" width="29.6640625" bestFit="1" customWidth="1"/>
    <col min="9474" max="9474" width="24.109375" customWidth="1"/>
    <col min="9475" max="9475" width="10.5546875" bestFit="1" customWidth="1"/>
    <col min="9476" max="9476" width="9.5546875" bestFit="1" customWidth="1"/>
    <col min="9477" max="9477" width="10.88671875" customWidth="1"/>
    <col min="9478" max="9479" width="9.88671875" bestFit="1" customWidth="1"/>
    <col min="9480" max="9480" width="10.109375" bestFit="1" customWidth="1"/>
    <col min="9481" max="9481" width="9.88671875" bestFit="1" customWidth="1"/>
    <col min="9482" max="9482" width="11.88671875" bestFit="1" customWidth="1"/>
    <col min="9483" max="9486" width="9.88671875" bestFit="1" customWidth="1"/>
    <col min="9487" max="9493" width="8.88671875" customWidth="1"/>
    <col min="9727" max="9727" width="2.33203125" customWidth="1"/>
    <col min="9728" max="9728" width="2.6640625" customWidth="1"/>
    <col min="9729" max="9729" width="29.6640625" bestFit="1" customWidth="1"/>
    <col min="9730" max="9730" width="24.109375" customWidth="1"/>
    <col min="9731" max="9731" width="10.5546875" bestFit="1" customWidth="1"/>
    <col min="9732" max="9732" width="9.5546875" bestFit="1" customWidth="1"/>
    <col min="9733" max="9733" width="10.88671875" customWidth="1"/>
    <col min="9734" max="9735" width="9.88671875" bestFit="1" customWidth="1"/>
    <col min="9736" max="9736" width="10.109375" bestFit="1" customWidth="1"/>
    <col min="9737" max="9737" width="9.88671875" bestFit="1" customWidth="1"/>
    <col min="9738" max="9738" width="11.88671875" bestFit="1" customWidth="1"/>
    <col min="9739" max="9742" width="9.88671875" bestFit="1" customWidth="1"/>
    <col min="9743" max="9749" width="8.88671875" customWidth="1"/>
    <col min="9983" max="9983" width="2.33203125" customWidth="1"/>
    <col min="9984" max="9984" width="2.6640625" customWidth="1"/>
    <col min="9985" max="9985" width="29.6640625" bestFit="1" customWidth="1"/>
    <col min="9986" max="9986" width="24.109375" customWidth="1"/>
    <col min="9987" max="9987" width="10.5546875" bestFit="1" customWidth="1"/>
    <col min="9988" max="9988" width="9.5546875" bestFit="1" customWidth="1"/>
    <col min="9989" max="9989" width="10.88671875" customWidth="1"/>
    <col min="9990" max="9991" width="9.88671875" bestFit="1" customWidth="1"/>
    <col min="9992" max="9992" width="10.109375" bestFit="1" customWidth="1"/>
    <col min="9993" max="9993" width="9.88671875" bestFit="1" customWidth="1"/>
    <col min="9994" max="9994" width="11.88671875" bestFit="1" customWidth="1"/>
    <col min="9995" max="9998" width="9.88671875" bestFit="1" customWidth="1"/>
    <col min="9999" max="10005" width="8.88671875" customWidth="1"/>
    <col min="10239" max="10239" width="2.33203125" customWidth="1"/>
    <col min="10240" max="10240" width="2.6640625" customWidth="1"/>
    <col min="10241" max="10241" width="29.6640625" bestFit="1" customWidth="1"/>
    <col min="10242" max="10242" width="24.109375" customWidth="1"/>
    <col min="10243" max="10243" width="10.5546875" bestFit="1" customWidth="1"/>
    <col min="10244" max="10244" width="9.5546875" bestFit="1" customWidth="1"/>
    <col min="10245" max="10245" width="10.88671875" customWidth="1"/>
    <col min="10246" max="10247" width="9.88671875" bestFit="1" customWidth="1"/>
    <col min="10248" max="10248" width="10.109375" bestFit="1" customWidth="1"/>
    <col min="10249" max="10249" width="9.88671875" bestFit="1" customWidth="1"/>
    <col min="10250" max="10250" width="11.88671875" bestFit="1" customWidth="1"/>
    <col min="10251" max="10254" width="9.88671875" bestFit="1" customWidth="1"/>
    <col min="10255" max="10261" width="8.88671875" customWidth="1"/>
    <col min="10495" max="10495" width="2.33203125" customWidth="1"/>
    <col min="10496" max="10496" width="2.6640625" customWidth="1"/>
    <col min="10497" max="10497" width="29.6640625" bestFit="1" customWidth="1"/>
    <col min="10498" max="10498" width="24.109375" customWidth="1"/>
    <col min="10499" max="10499" width="10.5546875" bestFit="1" customWidth="1"/>
    <col min="10500" max="10500" width="9.5546875" bestFit="1" customWidth="1"/>
    <col min="10501" max="10501" width="10.88671875" customWidth="1"/>
    <col min="10502" max="10503" width="9.88671875" bestFit="1" customWidth="1"/>
    <col min="10504" max="10504" width="10.109375" bestFit="1" customWidth="1"/>
    <col min="10505" max="10505" width="9.88671875" bestFit="1" customWidth="1"/>
    <col min="10506" max="10506" width="11.88671875" bestFit="1" customWidth="1"/>
    <col min="10507" max="10510" width="9.88671875" bestFit="1" customWidth="1"/>
    <col min="10511" max="10517" width="8.88671875" customWidth="1"/>
    <col min="10751" max="10751" width="2.33203125" customWidth="1"/>
    <col min="10752" max="10752" width="2.6640625" customWidth="1"/>
    <col min="10753" max="10753" width="29.6640625" bestFit="1" customWidth="1"/>
    <col min="10754" max="10754" width="24.109375" customWidth="1"/>
    <col min="10755" max="10755" width="10.5546875" bestFit="1" customWidth="1"/>
    <col min="10756" max="10756" width="9.5546875" bestFit="1" customWidth="1"/>
    <col min="10757" max="10757" width="10.88671875" customWidth="1"/>
    <col min="10758" max="10759" width="9.88671875" bestFit="1" customWidth="1"/>
    <col min="10760" max="10760" width="10.109375" bestFit="1" customWidth="1"/>
    <col min="10761" max="10761" width="9.88671875" bestFit="1" customWidth="1"/>
    <col min="10762" max="10762" width="11.88671875" bestFit="1" customWidth="1"/>
    <col min="10763" max="10766" width="9.88671875" bestFit="1" customWidth="1"/>
    <col min="10767" max="10773" width="8.88671875" customWidth="1"/>
    <col min="11007" max="11007" width="2.33203125" customWidth="1"/>
    <col min="11008" max="11008" width="2.6640625" customWidth="1"/>
    <col min="11009" max="11009" width="29.6640625" bestFit="1" customWidth="1"/>
    <col min="11010" max="11010" width="24.109375" customWidth="1"/>
    <col min="11011" max="11011" width="10.5546875" bestFit="1" customWidth="1"/>
    <col min="11012" max="11012" width="9.5546875" bestFit="1" customWidth="1"/>
    <col min="11013" max="11013" width="10.88671875" customWidth="1"/>
    <col min="11014" max="11015" width="9.88671875" bestFit="1" customWidth="1"/>
    <col min="11016" max="11016" width="10.109375" bestFit="1" customWidth="1"/>
    <col min="11017" max="11017" width="9.88671875" bestFit="1" customWidth="1"/>
    <col min="11018" max="11018" width="11.88671875" bestFit="1" customWidth="1"/>
    <col min="11019" max="11022" width="9.88671875" bestFit="1" customWidth="1"/>
    <col min="11023" max="11029" width="8.88671875" customWidth="1"/>
    <col min="11263" max="11263" width="2.33203125" customWidth="1"/>
    <col min="11264" max="11264" width="2.6640625" customWidth="1"/>
    <col min="11265" max="11265" width="29.6640625" bestFit="1" customWidth="1"/>
    <col min="11266" max="11266" width="24.109375" customWidth="1"/>
    <col min="11267" max="11267" width="10.5546875" bestFit="1" customWidth="1"/>
    <col min="11268" max="11268" width="9.5546875" bestFit="1" customWidth="1"/>
    <col min="11269" max="11269" width="10.88671875" customWidth="1"/>
    <col min="11270" max="11271" width="9.88671875" bestFit="1" customWidth="1"/>
    <col min="11272" max="11272" width="10.109375" bestFit="1" customWidth="1"/>
    <col min="11273" max="11273" width="9.88671875" bestFit="1" customWidth="1"/>
    <col min="11274" max="11274" width="11.88671875" bestFit="1" customWidth="1"/>
    <col min="11275" max="11278" width="9.88671875" bestFit="1" customWidth="1"/>
    <col min="11279" max="11285" width="8.88671875" customWidth="1"/>
    <col min="11519" max="11519" width="2.33203125" customWidth="1"/>
    <col min="11520" max="11520" width="2.6640625" customWidth="1"/>
    <col min="11521" max="11521" width="29.6640625" bestFit="1" customWidth="1"/>
    <col min="11522" max="11522" width="24.109375" customWidth="1"/>
    <col min="11523" max="11523" width="10.5546875" bestFit="1" customWidth="1"/>
    <col min="11524" max="11524" width="9.5546875" bestFit="1" customWidth="1"/>
    <col min="11525" max="11525" width="10.88671875" customWidth="1"/>
    <col min="11526" max="11527" width="9.88671875" bestFit="1" customWidth="1"/>
    <col min="11528" max="11528" width="10.109375" bestFit="1" customWidth="1"/>
    <col min="11529" max="11529" width="9.88671875" bestFit="1" customWidth="1"/>
    <col min="11530" max="11530" width="11.88671875" bestFit="1" customWidth="1"/>
    <col min="11531" max="11534" width="9.88671875" bestFit="1" customWidth="1"/>
    <col min="11535" max="11541" width="8.88671875" customWidth="1"/>
    <col min="11775" max="11775" width="2.33203125" customWidth="1"/>
    <col min="11776" max="11776" width="2.6640625" customWidth="1"/>
    <col min="11777" max="11777" width="29.6640625" bestFit="1" customWidth="1"/>
    <col min="11778" max="11778" width="24.109375" customWidth="1"/>
    <col min="11779" max="11779" width="10.5546875" bestFit="1" customWidth="1"/>
    <col min="11780" max="11780" width="9.5546875" bestFit="1" customWidth="1"/>
    <col min="11781" max="11781" width="10.88671875" customWidth="1"/>
    <col min="11782" max="11783" width="9.88671875" bestFit="1" customWidth="1"/>
    <col min="11784" max="11784" width="10.109375" bestFit="1" customWidth="1"/>
    <col min="11785" max="11785" width="9.88671875" bestFit="1" customWidth="1"/>
    <col min="11786" max="11786" width="11.88671875" bestFit="1" customWidth="1"/>
    <col min="11787" max="11790" width="9.88671875" bestFit="1" customWidth="1"/>
    <col min="11791" max="11797" width="8.88671875" customWidth="1"/>
    <col min="12031" max="12031" width="2.33203125" customWidth="1"/>
    <col min="12032" max="12032" width="2.6640625" customWidth="1"/>
    <col min="12033" max="12033" width="29.6640625" bestFit="1" customWidth="1"/>
    <col min="12034" max="12034" width="24.109375" customWidth="1"/>
    <col min="12035" max="12035" width="10.5546875" bestFit="1" customWidth="1"/>
    <col min="12036" max="12036" width="9.5546875" bestFit="1" customWidth="1"/>
    <col min="12037" max="12037" width="10.88671875" customWidth="1"/>
    <col min="12038" max="12039" width="9.88671875" bestFit="1" customWidth="1"/>
    <col min="12040" max="12040" width="10.109375" bestFit="1" customWidth="1"/>
    <col min="12041" max="12041" width="9.88671875" bestFit="1" customWidth="1"/>
    <col min="12042" max="12042" width="11.88671875" bestFit="1" customWidth="1"/>
    <col min="12043" max="12046" width="9.88671875" bestFit="1" customWidth="1"/>
    <col min="12047" max="12053" width="8.88671875" customWidth="1"/>
    <col min="12287" max="12287" width="2.33203125" customWidth="1"/>
    <col min="12288" max="12288" width="2.6640625" customWidth="1"/>
    <col min="12289" max="12289" width="29.6640625" bestFit="1" customWidth="1"/>
    <col min="12290" max="12290" width="24.109375" customWidth="1"/>
    <col min="12291" max="12291" width="10.5546875" bestFit="1" customWidth="1"/>
    <col min="12292" max="12292" width="9.5546875" bestFit="1" customWidth="1"/>
    <col min="12293" max="12293" width="10.88671875" customWidth="1"/>
    <col min="12294" max="12295" width="9.88671875" bestFit="1" customWidth="1"/>
    <col min="12296" max="12296" width="10.109375" bestFit="1" customWidth="1"/>
    <col min="12297" max="12297" width="9.88671875" bestFit="1" customWidth="1"/>
    <col min="12298" max="12298" width="11.88671875" bestFit="1" customWidth="1"/>
    <col min="12299" max="12302" width="9.88671875" bestFit="1" customWidth="1"/>
    <col min="12303" max="12309" width="8.88671875" customWidth="1"/>
    <col min="12543" max="12543" width="2.33203125" customWidth="1"/>
    <col min="12544" max="12544" width="2.6640625" customWidth="1"/>
    <col min="12545" max="12545" width="29.6640625" bestFit="1" customWidth="1"/>
    <col min="12546" max="12546" width="24.109375" customWidth="1"/>
    <col min="12547" max="12547" width="10.5546875" bestFit="1" customWidth="1"/>
    <col min="12548" max="12548" width="9.5546875" bestFit="1" customWidth="1"/>
    <col min="12549" max="12549" width="10.88671875" customWidth="1"/>
    <col min="12550" max="12551" width="9.88671875" bestFit="1" customWidth="1"/>
    <col min="12552" max="12552" width="10.109375" bestFit="1" customWidth="1"/>
    <col min="12553" max="12553" width="9.88671875" bestFit="1" customWidth="1"/>
    <col min="12554" max="12554" width="11.88671875" bestFit="1" customWidth="1"/>
    <col min="12555" max="12558" width="9.88671875" bestFit="1" customWidth="1"/>
    <col min="12559" max="12565" width="8.88671875" customWidth="1"/>
    <col min="12799" max="12799" width="2.33203125" customWidth="1"/>
    <col min="12800" max="12800" width="2.6640625" customWidth="1"/>
    <col min="12801" max="12801" width="29.6640625" bestFit="1" customWidth="1"/>
    <col min="12802" max="12802" width="24.109375" customWidth="1"/>
    <col min="12803" max="12803" width="10.5546875" bestFit="1" customWidth="1"/>
    <col min="12804" max="12804" width="9.5546875" bestFit="1" customWidth="1"/>
    <col min="12805" max="12805" width="10.88671875" customWidth="1"/>
    <col min="12806" max="12807" width="9.88671875" bestFit="1" customWidth="1"/>
    <col min="12808" max="12808" width="10.109375" bestFit="1" customWidth="1"/>
    <col min="12809" max="12809" width="9.88671875" bestFit="1" customWidth="1"/>
    <col min="12810" max="12810" width="11.88671875" bestFit="1" customWidth="1"/>
    <col min="12811" max="12814" width="9.88671875" bestFit="1" customWidth="1"/>
    <col min="12815" max="12821" width="8.88671875" customWidth="1"/>
    <col min="13055" max="13055" width="2.33203125" customWidth="1"/>
    <col min="13056" max="13056" width="2.6640625" customWidth="1"/>
    <col min="13057" max="13057" width="29.6640625" bestFit="1" customWidth="1"/>
    <col min="13058" max="13058" width="24.109375" customWidth="1"/>
    <col min="13059" max="13059" width="10.5546875" bestFit="1" customWidth="1"/>
    <col min="13060" max="13060" width="9.5546875" bestFit="1" customWidth="1"/>
    <col min="13061" max="13061" width="10.88671875" customWidth="1"/>
    <col min="13062" max="13063" width="9.88671875" bestFit="1" customWidth="1"/>
    <col min="13064" max="13064" width="10.109375" bestFit="1" customWidth="1"/>
    <col min="13065" max="13065" width="9.88671875" bestFit="1" customWidth="1"/>
    <col min="13066" max="13066" width="11.88671875" bestFit="1" customWidth="1"/>
    <col min="13067" max="13070" width="9.88671875" bestFit="1" customWidth="1"/>
    <col min="13071" max="13077" width="8.88671875" customWidth="1"/>
    <col min="13311" max="13311" width="2.33203125" customWidth="1"/>
    <col min="13312" max="13312" width="2.6640625" customWidth="1"/>
    <col min="13313" max="13313" width="29.6640625" bestFit="1" customWidth="1"/>
    <col min="13314" max="13314" width="24.109375" customWidth="1"/>
    <col min="13315" max="13315" width="10.5546875" bestFit="1" customWidth="1"/>
    <col min="13316" max="13316" width="9.5546875" bestFit="1" customWidth="1"/>
    <col min="13317" max="13317" width="10.88671875" customWidth="1"/>
    <col min="13318" max="13319" width="9.88671875" bestFit="1" customWidth="1"/>
    <col min="13320" max="13320" width="10.109375" bestFit="1" customWidth="1"/>
    <col min="13321" max="13321" width="9.88671875" bestFit="1" customWidth="1"/>
    <col min="13322" max="13322" width="11.88671875" bestFit="1" customWidth="1"/>
    <col min="13323" max="13326" width="9.88671875" bestFit="1" customWidth="1"/>
    <col min="13327" max="13333" width="8.88671875" customWidth="1"/>
    <col min="13567" max="13567" width="2.33203125" customWidth="1"/>
    <col min="13568" max="13568" width="2.6640625" customWidth="1"/>
    <col min="13569" max="13569" width="29.6640625" bestFit="1" customWidth="1"/>
    <col min="13570" max="13570" width="24.109375" customWidth="1"/>
    <col min="13571" max="13571" width="10.5546875" bestFit="1" customWidth="1"/>
    <col min="13572" max="13572" width="9.5546875" bestFit="1" customWidth="1"/>
    <col min="13573" max="13573" width="10.88671875" customWidth="1"/>
    <col min="13574" max="13575" width="9.88671875" bestFit="1" customWidth="1"/>
    <col min="13576" max="13576" width="10.109375" bestFit="1" customWidth="1"/>
    <col min="13577" max="13577" width="9.88671875" bestFit="1" customWidth="1"/>
    <col min="13578" max="13578" width="11.88671875" bestFit="1" customWidth="1"/>
    <col min="13579" max="13582" width="9.88671875" bestFit="1" customWidth="1"/>
    <col min="13583" max="13589" width="8.88671875" customWidth="1"/>
    <col min="13823" max="13823" width="2.33203125" customWidth="1"/>
    <col min="13824" max="13824" width="2.6640625" customWidth="1"/>
    <col min="13825" max="13825" width="29.6640625" bestFit="1" customWidth="1"/>
    <col min="13826" max="13826" width="24.109375" customWidth="1"/>
    <col min="13827" max="13827" width="10.5546875" bestFit="1" customWidth="1"/>
    <col min="13828" max="13828" width="9.5546875" bestFit="1" customWidth="1"/>
    <col min="13829" max="13829" width="10.88671875" customWidth="1"/>
    <col min="13830" max="13831" width="9.88671875" bestFit="1" customWidth="1"/>
    <col min="13832" max="13832" width="10.109375" bestFit="1" customWidth="1"/>
    <col min="13833" max="13833" width="9.88671875" bestFit="1" customWidth="1"/>
    <col min="13834" max="13834" width="11.88671875" bestFit="1" customWidth="1"/>
    <col min="13835" max="13838" width="9.88671875" bestFit="1" customWidth="1"/>
    <col min="13839" max="13845" width="8.88671875" customWidth="1"/>
    <col min="14079" max="14079" width="2.33203125" customWidth="1"/>
    <col min="14080" max="14080" width="2.6640625" customWidth="1"/>
    <col min="14081" max="14081" width="29.6640625" bestFit="1" customWidth="1"/>
    <col min="14082" max="14082" width="24.109375" customWidth="1"/>
    <col min="14083" max="14083" width="10.5546875" bestFit="1" customWidth="1"/>
    <col min="14084" max="14084" width="9.5546875" bestFit="1" customWidth="1"/>
    <col min="14085" max="14085" width="10.88671875" customWidth="1"/>
    <col min="14086" max="14087" width="9.88671875" bestFit="1" customWidth="1"/>
    <col min="14088" max="14088" width="10.109375" bestFit="1" customWidth="1"/>
    <col min="14089" max="14089" width="9.88671875" bestFit="1" customWidth="1"/>
    <col min="14090" max="14090" width="11.88671875" bestFit="1" customWidth="1"/>
    <col min="14091" max="14094" width="9.88671875" bestFit="1" customWidth="1"/>
    <col min="14095" max="14101" width="8.88671875" customWidth="1"/>
    <col min="14335" max="14335" width="2.33203125" customWidth="1"/>
    <col min="14336" max="14336" width="2.6640625" customWidth="1"/>
    <col min="14337" max="14337" width="29.6640625" bestFit="1" customWidth="1"/>
    <col min="14338" max="14338" width="24.109375" customWidth="1"/>
    <col min="14339" max="14339" width="10.5546875" bestFit="1" customWidth="1"/>
    <col min="14340" max="14340" width="9.5546875" bestFit="1" customWidth="1"/>
    <col min="14341" max="14341" width="10.88671875" customWidth="1"/>
    <col min="14342" max="14343" width="9.88671875" bestFit="1" customWidth="1"/>
    <col min="14344" max="14344" width="10.109375" bestFit="1" customWidth="1"/>
    <col min="14345" max="14345" width="9.88671875" bestFit="1" customWidth="1"/>
    <col min="14346" max="14346" width="11.88671875" bestFit="1" customWidth="1"/>
    <col min="14347" max="14350" width="9.88671875" bestFit="1" customWidth="1"/>
    <col min="14351" max="14357" width="8.88671875" customWidth="1"/>
    <col min="14591" max="14591" width="2.33203125" customWidth="1"/>
    <col min="14592" max="14592" width="2.6640625" customWidth="1"/>
    <col min="14593" max="14593" width="29.6640625" bestFit="1" customWidth="1"/>
    <col min="14594" max="14594" width="24.109375" customWidth="1"/>
    <col min="14595" max="14595" width="10.5546875" bestFit="1" customWidth="1"/>
    <col min="14596" max="14596" width="9.5546875" bestFit="1" customWidth="1"/>
    <col min="14597" max="14597" width="10.88671875" customWidth="1"/>
    <col min="14598" max="14599" width="9.88671875" bestFit="1" customWidth="1"/>
    <col min="14600" max="14600" width="10.109375" bestFit="1" customWidth="1"/>
    <col min="14601" max="14601" width="9.88671875" bestFit="1" customWidth="1"/>
    <col min="14602" max="14602" width="11.88671875" bestFit="1" customWidth="1"/>
    <col min="14603" max="14606" width="9.88671875" bestFit="1" customWidth="1"/>
    <col min="14607" max="14613" width="8.88671875" customWidth="1"/>
    <col min="14847" max="14847" width="2.33203125" customWidth="1"/>
    <col min="14848" max="14848" width="2.6640625" customWidth="1"/>
    <col min="14849" max="14849" width="29.6640625" bestFit="1" customWidth="1"/>
    <col min="14850" max="14850" width="24.109375" customWidth="1"/>
    <col min="14851" max="14851" width="10.5546875" bestFit="1" customWidth="1"/>
    <col min="14852" max="14852" width="9.5546875" bestFit="1" customWidth="1"/>
    <col min="14853" max="14853" width="10.88671875" customWidth="1"/>
    <col min="14854" max="14855" width="9.88671875" bestFit="1" customWidth="1"/>
    <col min="14856" max="14856" width="10.109375" bestFit="1" customWidth="1"/>
    <col min="14857" max="14857" width="9.88671875" bestFit="1" customWidth="1"/>
    <col min="14858" max="14858" width="11.88671875" bestFit="1" customWidth="1"/>
    <col min="14859" max="14862" width="9.88671875" bestFit="1" customWidth="1"/>
    <col min="14863" max="14869" width="8.88671875" customWidth="1"/>
    <col min="15103" max="15103" width="2.33203125" customWidth="1"/>
    <col min="15104" max="15104" width="2.6640625" customWidth="1"/>
    <col min="15105" max="15105" width="29.6640625" bestFit="1" customWidth="1"/>
    <col min="15106" max="15106" width="24.109375" customWidth="1"/>
    <col min="15107" max="15107" width="10.5546875" bestFit="1" customWidth="1"/>
    <col min="15108" max="15108" width="9.5546875" bestFit="1" customWidth="1"/>
    <col min="15109" max="15109" width="10.88671875" customWidth="1"/>
    <col min="15110" max="15111" width="9.88671875" bestFit="1" customWidth="1"/>
    <col min="15112" max="15112" width="10.109375" bestFit="1" customWidth="1"/>
    <col min="15113" max="15113" width="9.88671875" bestFit="1" customWidth="1"/>
    <col min="15114" max="15114" width="11.88671875" bestFit="1" customWidth="1"/>
    <col min="15115" max="15118" width="9.88671875" bestFit="1" customWidth="1"/>
    <col min="15119" max="15125" width="8.88671875" customWidth="1"/>
    <col min="15359" max="15359" width="2.33203125" customWidth="1"/>
    <col min="15360" max="15360" width="2.6640625" customWidth="1"/>
    <col min="15361" max="15361" width="29.6640625" bestFit="1" customWidth="1"/>
    <col min="15362" max="15362" width="24.109375" customWidth="1"/>
    <col min="15363" max="15363" width="10.5546875" bestFit="1" customWidth="1"/>
    <col min="15364" max="15364" width="9.5546875" bestFit="1" customWidth="1"/>
    <col min="15365" max="15365" width="10.88671875" customWidth="1"/>
    <col min="15366" max="15367" width="9.88671875" bestFit="1" customWidth="1"/>
    <col min="15368" max="15368" width="10.109375" bestFit="1" customWidth="1"/>
    <col min="15369" max="15369" width="9.88671875" bestFit="1" customWidth="1"/>
    <col min="15370" max="15370" width="11.88671875" bestFit="1" customWidth="1"/>
    <col min="15371" max="15374" width="9.88671875" bestFit="1" customWidth="1"/>
    <col min="15375" max="15381" width="8.88671875" customWidth="1"/>
    <col min="15615" max="15615" width="2.33203125" customWidth="1"/>
    <col min="15616" max="15616" width="2.6640625" customWidth="1"/>
    <col min="15617" max="15617" width="29.6640625" bestFit="1" customWidth="1"/>
    <col min="15618" max="15618" width="24.109375" customWidth="1"/>
    <col min="15619" max="15619" width="10.5546875" bestFit="1" customWidth="1"/>
    <col min="15620" max="15620" width="9.5546875" bestFit="1" customWidth="1"/>
    <col min="15621" max="15621" width="10.88671875" customWidth="1"/>
    <col min="15622" max="15623" width="9.88671875" bestFit="1" customWidth="1"/>
    <col min="15624" max="15624" width="10.109375" bestFit="1" customWidth="1"/>
    <col min="15625" max="15625" width="9.88671875" bestFit="1" customWidth="1"/>
    <col min="15626" max="15626" width="11.88671875" bestFit="1" customWidth="1"/>
    <col min="15627" max="15630" width="9.88671875" bestFit="1" customWidth="1"/>
    <col min="15631" max="15637" width="8.88671875" customWidth="1"/>
    <col min="15871" max="15871" width="2.33203125" customWidth="1"/>
    <col min="15872" max="15872" width="2.6640625" customWidth="1"/>
    <col min="15873" max="15873" width="29.6640625" bestFit="1" customWidth="1"/>
    <col min="15874" max="15874" width="24.109375" customWidth="1"/>
    <col min="15875" max="15875" width="10.5546875" bestFit="1" customWidth="1"/>
    <col min="15876" max="15876" width="9.5546875" bestFit="1" customWidth="1"/>
    <col min="15877" max="15877" width="10.88671875" customWidth="1"/>
    <col min="15878" max="15879" width="9.88671875" bestFit="1" customWidth="1"/>
    <col min="15880" max="15880" width="10.109375" bestFit="1" customWidth="1"/>
    <col min="15881" max="15881" width="9.88671875" bestFit="1" customWidth="1"/>
    <col min="15882" max="15882" width="11.88671875" bestFit="1" customWidth="1"/>
    <col min="15883" max="15886" width="9.88671875" bestFit="1" customWidth="1"/>
    <col min="15887" max="15893" width="8.88671875" customWidth="1"/>
    <col min="16127" max="16127" width="2.33203125" customWidth="1"/>
    <col min="16128" max="16128" width="2.6640625" customWidth="1"/>
    <col min="16129" max="16129" width="29.6640625" bestFit="1" customWidth="1"/>
    <col min="16130" max="16130" width="24.109375" customWidth="1"/>
    <col min="16131" max="16131" width="10.5546875" bestFit="1" customWidth="1"/>
    <col min="16132" max="16132" width="9.5546875" bestFit="1" customWidth="1"/>
    <col min="16133" max="16133" width="10.88671875" customWidth="1"/>
    <col min="16134" max="16135" width="9.88671875" bestFit="1" customWidth="1"/>
    <col min="16136" max="16136" width="10.109375" bestFit="1" customWidth="1"/>
    <col min="16137" max="16137" width="9.88671875" bestFit="1" customWidth="1"/>
    <col min="16138" max="16138" width="11.88671875" bestFit="1" customWidth="1"/>
    <col min="16139" max="16142" width="9.88671875" bestFit="1" customWidth="1"/>
    <col min="16143" max="16149" width="8.88671875" customWidth="1"/>
  </cols>
  <sheetData>
    <row r="1" spans="1:20" ht="21" customHeight="1">
      <c r="A1" s="192" t="s">
        <v>307</v>
      </c>
      <c r="E1" s="71"/>
    </row>
    <row r="2" spans="1:20">
      <c r="A2" s="194" t="s">
        <v>306</v>
      </c>
    </row>
    <row r="3" spans="1:20" ht="15.6" customHeight="1">
      <c r="A3" s="194" t="s">
        <v>438</v>
      </c>
    </row>
    <row r="4" spans="1:20" s="135" customFormat="1" ht="13.95" customHeight="1">
      <c r="A4" s="140"/>
      <c r="B4" s="141"/>
      <c r="C4" s="142"/>
      <c r="D4" s="142"/>
      <c r="E4" s="142"/>
      <c r="F4" s="142"/>
      <c r="G4" s="142"/>
      <c r="O4" s="144"/>
      <c r="P4" s="144"/>
      <c r="Q4" s="144"/>
      <c r="R4" s="144"/>
      <c r="S4" s="144"/>
      <c r="T4" s="144"/>
    </row>
    <row r="5" spans="1:20" s="193" customFormat="1" ht="31.95" customHeight="1">
      <c r="A5" s="1079" t="str">
        <f>Trips!B3</f>
        <v>FY 2020</v>
      </c>
      <c r="B5" s="1080"/>
      <c r="C5" s="216" t="s">
        <v>8</v>
      </c>
      <c r="D5" s="216" t="s">
        <v>78</v>
      </c>
      <c r="E5" s="216" t="s">
        <v>79</v>
      </c>
      <c r="F5" s="216" t="s">
        <v>80</v>
      </c>
      <c r="G5" s="216" t="s">
        <v>81</v>
      </c>
      <c r="H5" s="216" t="s">
        <v>82</v>
      </c>
      <c r="I5" s="216" t="s">
        <v>83</v>
      </c>
      <c r="J5" s="216" t="s">
        <v>84</v>
      </c>
      <c r="K5" s="216" t="s">
        <v>85</v>
      </c>
      <c r="L5" s="216" t="s">
        <v>4</v>
      </c>
      <c r="M5" s="216" t="s">
        <v>5</v>
      </c>
      <c r="N5" s="216" t="s">
        <v>6</v>
      </c>
      <c r="O5" s="217" t="s">
        <v>110</v>
      </c>
      <c r="P5" s="217" t="s">
        <v>111</v>
      </c>
      <c r="Q5" s="217" t="s">
        <v>112</v>
      </c>
      <c r="R5" s="217" t="s">
        <v>113</v>
      </c>
      <c r="S5" s="217" t="s">
        <v>114</v>
      </c>
      <c r="T5" s="217" t="s">
        <v>281</v>
      </c>
    </row>
    <row r="6" spans="1:20" s="195" customFormat="1" ht="16.2" customHeight="1">
      <c r="A6" s="1081" t="s">
        <v>277</v>
      </c>
      <c r="B6" s="495" t="s">
        <v>187</v>
      </c>
      <c r="C6" s="496">
        <f>'OpStatsTotals(DR)'!C3</f>
        <v>23</v>
      </c>
      <c r="D6" s="496">
        <f>'OpStatsTotals(DR)'!D3</f>
        <v>22</v>
      </c>
      <c r="E6" s="496">
        <f>'OpStatsTotals(DR)'!E3</f>
        <v>21</v>
      </c>
      <c r="F6" s="496">
        <f>'OpStatsTotals(DR)'!F3</f>
        <v>23</v>
      </c>
      <c r="G6" s="496">
        <f>'OpStatsTotals(DR)'!G3</f>
        <v>20</v>
      </c>
      <c r="H6" s="496">
        <f>'OpStatsTotals(DR)'!H3</f>
        <v>21</v>
      </c>
      <c r="I6" s="496">
        <f>'OpStatsTotals(DR)'!I3</f>
        <v>0</v>
      </c>
      <c r="J6" s="496">
        <f>'OpStatsTotals(DR)'!J3</f>
        <v>0</v>
      </c>
      <c r="K6" s="496">
        <f>'OpStatsTotals(DR)'!K3</f>
        <v>0</v>
      </c>
      <c r="L6" s="496">
        <f>'OpStatsTotals(DR)'!L3</f>
        <v>0</v>
      </c>
      <c r="M6" s="496">
        <f>'OpStatsTotals(DR)'!M3</f>
        <v>0</v>
      </c>
      <c r="N6" s="496">
        <f>'OpStatsTotals(DR)'!N3</f>
        <v>0</v>
      </c>
      <c r="O6" s="496">
        <f>C6+D6+E6</f>
        <v>66</v>
      </c>
      <c r="P6" s="496">
        <f>F6+G6+H6</f>
        <v>64</v>
      </c>
      <c r="Q6" s="496">
        <f>I6+J6+K6</f>
        <v>0</v>
      </c>
      <c r="R6" s="496">
        <f>L6+M6+N6</f>
        <v>0</v>
      </c>
      <c r="S6" s="496">
        <f>SUM(C6:N6)</f>
        <v>130</v>
      </c>
      <c r="T6" s="218"/>
    </row>
    <row r="7" spans="1:20" s="196" customFormat="1" ht="16.2" customHeight="1">
      <c r="A7" s="1082"/>
      <c r="B7" s="495" t="s">
        <v>274</v>
      </c>
      <c r="C7" s="497">
        <f>IF(C6=0,0,'OpStatsTotals(DR)'!C4)</f>
        <v>31</v>
      </c>
      <c r="D7" s="496">
        <f t="shared" ref="D7:N7" si="0">IF(D6=0,0,C7)</f>
        <v>31</v>
      </c>
      <c r="E7" s="496">
        <f t="shared" si="0"/>
        <v>31</v>
      </c>
      <c r="F7" s="496">
        <f t="shared" si="0"/>
        <v>31</v>
      </c>
      <c r="G7" s="496">
        <f t="shared" si="0"/>
        <v>31</v>
      </c>
      <c r="H7" s="496">
        <f t="shared" si="0"/>
        <v>31</v>
      </c>
      <c r="I7" s="496">
        <f t="shared" si="0"/>
        <v>0</v>
      </c>
      <c r="J7" s="496">
        <f t="shared" si="0"/>
        <v>0</v>
      </c>
      <c r="K7" s="496">
        <f t="shared" si="0"/>
        <v>0</v>
      </c>
      <c r="L7" s="496">
        <f t="shared" si="0"/>
        <v>0</v>
      </c>
      <c r="M7" s="496">
        <f t="shared" si="0"/>
        <v>0</v>
      </c>
      <c r="N7" s="496">
        <f t="shared" si="0"/>
        <v>0</v>
      </c>
      <c r="O7" s="496">
        <f>MAX(C7,D7,E7)</f>
        <v>31</v>
      </c>
      <c r="P7" s="497">
        <f>MAX(F7,G7,H7)</f>
        <v>31</v>
      </c>
      <c r="Q7" s="497">
        <f>MAX(I7,J7,K7)</f>
        <v>0</v>
      </c>
      <c r="R7" s="497">
        <f>MAX(L7,M7,N7)</f>
        <v>0</v>
      </c>
      <c r="S7" s="497">
        <f>MAX(C7:N7)</f>
        <v>31</v>
      </c>
      <c r="T7" s="218"/>
    </row>
    <row r="8" spans="1:20" s="195" customFormat="1" ht="16.2" customHeight="1">
      <c r="A8" s="1082"/>
      <c r="B8" s="495" t="s">
        <v>225</v>
      </c>
      <c r="C8" s="496">
        <f t="shared" ref="C8:N8" si="1">C7</f>
        <v>31</v>
      </c>
      <c r="D8" s="496">
        <f t="shared" si="1"/>
        <v>31</v>
      </c>
      <c r="E8" s="496">
        <f t="shared" si="1"/>
        <v>31</v>
      </c>
      <c r="F8" s="496">
        <f t="shared" si="1"/>
        <v>31</v>
      </c>
      <c r="G8" s="496">
        <f t="shared" si="1"/>
        <v>31</v>
      </c>
      <c r="H8" s="496">
        <f t="shared" si="1"/>
        <v>31</v>
      </c>
      <c r="I8" s="496">
        <f t="shared" si="1"/>
        <v>0</v>
      </c>
      <c r="J8" s="496">
        <f t="shared" si="1"/>
        <v>0</v>
      </c>
      <c r="K8" s="496">
        <f t="shared" si="1"/>
        <v>0</v>
      </c>
      <c r="L8" s="496">
        <f t="shared" si="1"/>
        <v>0</v>
      </c>
      <c r="M8" s="496">
        <f t="shared" si="1"/>
        <v>0</v>
      </c>
      <c r="N8" s="496">
        <f t="shared" si="1"/>
        <v>0</v>
      </c>
      <c r="O8" s="496">
        <f>(C8+D8+E8)</f>
        <v>93</v>
      </c>
      <c r="P8" s="497">
        <f t="shared" ref="P8:P14" si="2">F8+G8+H8</f>
        <v>93</v>
      </c>
      <c r="Q8" s="497">
        <f>+I8+J8+K8</f>
        <v>0</v>
      </c>
      <c r="R8" s="497">
        <f t="shared" ref="R8:R14" si="3">L8+M8+N8</f>
        <v>0</v>
      </c>
      <c r="S8" s="497">
        <f>O8+P8+Q8+R8</f>
        <v>186</v>
      </c>
      <c r="T8" s="218"/>
    </row>
    <row r="9" spans="1:20" s="197" customFormat="1" ht="16.2" customHeight="1">
      <c r="A9" s="1082"/>
      <c r="B9" s="495" t="s">
        <v>226</v>
      </c>
      <c r="C9" s="498">
        <f>'OpStatsTotals(DR)'!C21</f>
        <v>3632</v>
      </c>
      <c r="D9" s="498">
        <f>'OpStatsTotals(DR)'!D21</f>
        <v>3506</v>
      </c>
      <c r="E9" s="498">
        <f>'OpStatsTotals(DR)'!E21</f>
        <v>3323</v>
      </c>
      <c r="F9" s="498">
        <f>'OpStatsTotals(DR)'!F21</f>
        <v>3810</v>
      </c>
      <c r="G9" s="498">
        <f>'OpStatsTotals(DR)'!G21</f>
        <v>3013</v>
      </c>
      <c r="H9" s="498">
        <f>'OpStatsTotals(DR)'!H21</f>
        <v>3208</v>
      </c>
      <c r="I9" s="498">
        <f>'OpStatsTotals(DR)'!I21</f>
        <v>0</v>
      </c>
      <c r="J9" s="498">
        <f>'OpStatsTotals(DR)'!J21</f>
        <v>0</v>
      </c>
      <c r="K9" s="498">
        <f>'OpStatsTotals(DR)'!K21</f>
        <v>0</v>
      </c>
      <c r="L9" s="498">
        <f>'OpStatsTotals(DR)'!L21</f>
        <v>0</v>
      </c>
      <c r="M9" s="498">
        <f>'OpStatsTotals(DR)'!M21</f>
        <v>0</v>
      </c>
      <c r="N9" s="498">
        <f>'OpStatsTotals(DR)'!N21</f>
        <v>0</v>
      </c>
      <c r="O9" s="498">
        <f t="shared" ref="O9:O14" si="4">C9+D9+E9</f>
        <v>10461</v>
      </c>
      <c r="P9" s="498">
        <f t="shared" si="2"/>
        <v>10031</v>
      </c>
      <c r="Q9" s="498">
        <f t="shared" ref="Q9:Q14" si="5">I9+J9+K9</f>
        <v>0</v>
      </c>
      <c r="R9" s="498">
        <f t="shared" si="3"/>
        <v>0</v>
      </c>
      <c r="S9" s="498">
        <f t="shared" ref="S9:S14" si="6">SUM(C9:N9)</f>
        <v>20492</v>
      </c>
      <c r="T9" s="219">
        <f t="shared" ref="T9:T14" si="7">IFERROR(S9/$S$6,0)</f>
        <v>157.63076923076923</v>
      </c>
    </row>
    <row r="10" spans="1:20" s="195" customFormat="1" ht="16.2" customHeight="1">
      <c r="A10" s="1082"/>
      <c r="B10" s="495" t="s">
        <v>276</v>
      </c>
      <c r="C10" s="498">
        <f>'OpStatsTotals(DR)'!C15</f>
        <v>29278</v>
      </c>
      <c r="D10" s="498">
        <f>'OpStatsTotals(DR)'!D15</f>
        <v>28695</v>
      </c>
      <c r="E10" s="498">
        <f>'OpStatsTotals(DR)'!E15</f>
        <v>27509</v>
      </c>
      <c r="F10" s="498">
        <f>'OpStatsTotals(DR)'!F15</f>
        <v>30306</v>
      </c>
      <c r="G10" s="498">
        <f>'OpStatsTotals(DR)'!G15</f>
        <v>23895</v>
      </c>
      <c r="H10" s="498">
        <f>'OpStatsTotals(DR)'!H15</f>
        <v>24469</v>
      </c>
      <c r="I10" s="498">
        <f>'OpStatsTotals(DR)'!I15</f>
        <v>0</v>
      </c>
      <c r="J10" s="498">
        <f>'OpStatsTotals(DR)'!J15</f>
        <v>0</v>
      </c>
      <c r="K10" s="498">
        <f>'OpStatsTotals(DR)'!K15</f>
        <v>0</v>
      </c>
      <c r="L10" s="498">
        <f>'OpStatsTotals(DR)'!L15</f>
        <v>0</v>
      </c>
      <c r="M10" s="498">
        <f>'OpStatsTotals(DR)'!M15</f>
        <v>0</v>
      </c>
      <c r="N10" s="498">
        <f>'OpStatsTotals(DR)'!N15</f>
        <v>0</v>
      </c>
      <c r="O10" s="498">
        <f t="shared" si="4"/>
        <v>85482</v>
      </c>
      <c r="P10" s="498">
        <f t="shared" si="2"/>
        <v>78670</v>
      </c>
      <c r="Q10" s="498">
        <f t="shared" si="5"/>
        <v>0</v>
      </c>
      <c r="R10" s="498">
        <f t="shared" si="3"/>
        <v>0</v>
      </c>
      <c r="S10" s="498">
        <f t="shared" si="6"/>
        <v>164152</v>
      </c>
      <c r="T10" s="219">
        <f t="shared" si="7"/>
        <v>1262.7076923076922</v>
      </c>
    </row>
    <row r="11" spans="1:20" s="195" customFormat="1" ht="16.2" customHeight="1">
      <c r="A11" s="1082"/>
      <c r="B11" s="495" t="s">
        <v>275</v>
      </c>
      <c r="C11" s="498">
        <f>'OpStatsTotals(DR)'!C12</f>
        <v>1672</v>
      </c>
      <c r="D11" s="498">
        <f>'OpStatsTotals(DR)'!D12</f>
        <v>1650</v>
      </c>
      <c r="E11" s="498">
        <f>'OpStatsTotals(DR)'!E12</f>
        <v>1530</v>
      </c>
      <c r="F11" s="498">
        <f>'OpStatsTotals(DR)'!F12</f>
        <v>1693</v>
      </c>
      <c r="G11" s="498">
        <f>'OpStatsTotals(DR)'!G12</f>
        <v>1351</v>
      </c>
      <c r="H11" s="498">
        <f>'OpStatsTotals(DR)'!H12</f>
        <v>1379</v>
      </c>
      <c r="I11" s="498">
        <f>'OpStatsTotals(DR)'!I12</f>
        <v>0</v>
      </c>
      <c r="J11" s="498">
        <f>'OpStatsTotals(DR)'!J12</f>
        <v>0</v>
      </c>
      <c r="K11" s="498">
        <f>'OpStatsTotals(DR)'!K12</f>
        <v>0</v>
      </c>
      <c r="L11" s="498">
        <f>'OpStatsTotals(DR)'!L12</f>
        <v>0</v>
      </c>
      <c r="M11" s="498">
        <f>'OpStatsTotals(DR)'!M12</f>
        <v>0</v>
      </c>
      <c r="N11" s="498">
        <f>'OpStatsTotals(DR)'!N12</f>
        <v>0</v>
      </c>
      <c r="O11" s="498">
        <f t="shared" si="4"/>
        <v>4852</v>
      </c>
      <c r="P11" s="498">
        <f t="shared" si="2"/>
        <v>4423</v>
      </c>
      <c r="Q11" s="498">
        <f t="shared" si="5"/>
        <v>0</v>
      </c>
      <c r="R11" s="498">
        <f t="shared" si="3"/>
        <v>0</v>
      </c>
      <c r="S11" s="498">
        <f t="shared" si="6"/>
        <v>9275</v>
      </c>
      <c r="T11" s="219">
        <f t="shared" si="7"/>
        <v>71.34615384615384</v>
      </c>
    </row>
    <row r="12" spans="1:20" s="197" customFormat="1" ht="16.2" customHeight="1">
      <c r="A12" s="1082"/>
      <c r="B12" s="202" t="s">
        <v>282</v>
      </c>
      <c r="C12" s="205">
        <f>'OpStatsTotals(DR)'!C9</f>
        <v>37078</v>
      </c>
      <c r="D12" s="205">
        <f>'OpStatsTotals(DR)'!D9</f>
        <v>35524</v>
      </c>
      <c r="E12" s="205">
        <f>'OpStatsTotals(DR)'!E9</f>
        <v>33901</v>
      </c>
      <c r="F12" s="205">
        <f>'OpStatsTotals(DR)'!F9</f>
        <v>37360</v>
      </c>
      <c r="G12" s="205">
        <f>'OpStatsTotals(DR)'!G9</f>
        <v>30484</v>
      </c>
      <c r="H12" s="205">
        <f>'OpStatsTotals(DR)'!H9</f>
        <v>30633</v>
      </c>
      <c r="I12" s="205">
        <f>'OpStatsTotals(DR)'!I9</f>
        <v>0</v>
      </c>
      <c r="J12" s="205">
        <f>'OpStatsTotals(DR)'!J9</f>
        <v>0</v>
      </c>
      <c r="K12" s="205">
        <f>'OpStatsTotals(DR)'!K9</f>
        <v>0</v>
      </c>
      <c r="L12" s="205">
        <f>'OpStatsTotals(DR)'!L9</f>
        <v>0</v>
      </c>
      <c r="M12" s="205">
        <f>'OpStatsTotals(DR)'!M9</f>
        <v>0</v>
      </c>
      <c r="N12" s="205">
        <f>'OpStatsTotals(DR)'!N9</f>
        <v>0</v>
      </c>
      <c r="O12" s="205">
        <f t="shared" si="4"/>
        <v>106503</v>
      </c>
      <c r="P12" s="205">
        <f t="shared" si="2"/>
        <v>98477</v>
      </c>
      <c r="Q12" s="205">
        <f t="shared" si="5"/>
        <v>0</v>
      </c>
      <c r="R12" s="205">
        <f t="shared" si="3"/>
        <v>0</v>
      </c>
      <c r="S12" s="205">
        <f t="shared" si="6"/>
        <v>204980</v>
      </c>
      <c r="T12" s="220">
        <f t="shared" si="7"/>
        <v>1576.7692307692307</v>
      </c>
    </row>
    <row r="13" spans="1:20" s="197" customFormat="1" ht="16.2" customHeight="1">
      <c r="A13" s="1082"/>
      <c r="B13" s="202" t="s">
        <v>283</v>
      </c>
      <c r="C13" s="205">
        <f>'OpStatsTotals(DR)'!C6</f>
        <v>2235</v>
      </c>
      <c r="D13" s="205">
        <f>'OpStatsTotals(DR)'!D6</f>
        <v>2097</v>
      </c>
      <c r="E13" s="205">
        <f>'OpStatsTotals(DR)'!E6</f>
        <v>1962</v>
      </c>
      <c r="F13" s="205">
        <f>'OpStatsTotals(DR)'!F6</f>
        <v>2128</v>
      </c>
      <c r="G13" s="205">
        <f>'OpStatsTotals(DR)'!G6</f>
        <v>1806</v>
      </c>
      <c r="H13" s="205">
        <f>'OpStatsTotals(DR)'!H6</f>
        <v>1809</v>
      </c>
      <c r="I13" s="205">
        <f>'OpStatsTotals(DR)'!I6</f>
        <v>0</v>
      </c>
      <c r="J13" s="205">
        <f>'OpStatsTotals(DR)'!J6</f>
        <v>0</v>
      </c>
      <c r="K13" s="205">
        <f>'OpStatsTotals(DR)'!K6</f>
        <v>0</v>
      </c>
      <c r="L13" s="205">
        <f>'OpStatsTotals(DR)'!L6</f>
        <v>0</v>
      </c>
      <c r="M13" s="205">
        <f>'OpStatsTotals(DR)'!M6</f>
        <v>0</v>
      </c>
      <c r="N13" s="205">
        <f>'OpStatsTotals(DR)'!N6</f>
        <v>0</v>
      </c>
      <c r="O13" s="205">
        <f t="shared" si="4"/>
        <v>6294</v>
      </c>
      <c r="P13" s="205">
        <f t="shared" si="2"/>
        <v>5743</v>
      </c>
      <c r="Q13" s="205">
        <f t="shared" si="5"/>
        <v>0</v>
      </c>
      <c r="R13" s="205">
        <f t="shared" si="3"/>
        <v>0</v>
      </c>
      <c r="S13" s="205">
        <f t="shared" si="6"/>
        <v>12037</v>
      </c>
      <c r="T13" s="220">
        <f t="shared" si="7"/>
        <v>92.592307692307699</v>
      </c>
    </row>
    <row r="14" spans="1:20" s="195" customFormat="1" ht="16.2" customHeight="1">
      <c r="A14" s="1082"/>
      <c r="B14" s="201" t="s">
        <v>241</v>
      </c>
      <c r="C14" s="205">
        <f>'OpStatsTotals(DR)'!C18</f>
        <v>34158</v>
      </c>
      <c r="D14" s="205">
        <f>'OpStatsTotals(DR)'!D18</f>
        <v>32559</v>
      </c>
      <c r="E14" s="205">
        <f>'OpStatsTotals(DR)'!E18</f>
        <v>29602</v>
      </c>
      <c r="F14" s="205">
        <f>'OpStatsTotals(DR)'!F18</f>
        <v>35313</v>
      </c>
      <c r="G14" s="205">
        <f>'OpStatsTotals(DR)'!G18</f>
        <v>28096</v>
      </c>
      <c r="H14" s="205">
        <f>'OpStatsTotals(DR)'!H18</f>
        <v>29128</v>
      </c>
      <c r="I14" s="205">
        <f>'OpStatsTotals(DR)'!I18</f>
        <v>0</v>
      </c>
      <c r="J14" s="205">
        <f>'OpStatsTotals(DR)'!J18</f>
        <v>0</v>
      </c>
      <c r="K14" s="205">
        <f>'OpStatsTotals(DR)'!K18</f>
        <v>0</v>
      </c>
      <c r="L14" s="205">
        <f>'OpStatsTotals(DR)'!L18</f>
        <v>0</v>
      </c>
      <c r="M14" s="205">
        <f>'OpStatsTotals(DR)'!M18</f>
        <v>0</v>
      </c>
      <c r="N14" s="205">
        <f>'OpStatsTotals(DR)'!N18</f>
        <v>0</v>
      </c>
      <c r="O14" s="205">
        <f t="shared" si="4"/>
        <v>96319</v>
      </c>
      <c r="P14" s="205">
        <f t="shared" si="2"/>
        <v>92537</v>
      </c>
      <c r="Q14" s="205">
        <f t="shared" si="5"/>
        <v>0</v>
      </c>
      <c r="R14" s="205">
        <f t="shared" si="3"/>
        <v>0</v>
      </c>
      <c r="S14" s="205">
        <f t="shared" si="6"/>
        <v>188856</v>
      </c>
      <c r="T14" s="220">
        <f t="shared" si="7"/>
        <v>1452.7384615384615</v>
      </c>
    </row>
    <row r="15" spans="1:20" s="198" customFormat="1" ht="5.4" customHeight="1">
      <c r="A15" s="221"/>
      <c r="B15" s="203"/>
      <c r="C15" s="206"/>
      <c r="D15" s="206"/>
      <c r="E15" s="206"/>
      <c r="F15" s="206"/>
      <c r="G15" s="206"/>
      <c r="H15" s="206"/>
      <c r="I15" s="206"/>
      <c r="J15" s="206"/>
      <c r="K15" s="206"/>
      <c r="L15" s="206"/>
      <c r="M15" s="206"/>
      <c r="N15" s="206"/>
      <c r="O15" s="200"/>
      <c r="P15" s="200"/>
      <c r="Q15" s="200"/>
      <c r="R15" s="200"/>
      <c r="S15" s="200"/>
      <c r="T15" s="222"/>
    </row>
    <row r="16" spans="1:20" s="195" customFormat="1" ht="16.2" customHeight="1">
      <c r="A16" s="1081" t="s">
        <v>227</v>
      </c>
      <c r="B16" s="495" t="s">
        <v>187</v>
      </c>
      <c r="C16" s="496">
        <f>'OpStatsTotals(DR)'!C30</f>
        <v>4</v>
      </c>
      <c r="D16" s="496">
        <f>'OpStatsTotals(DR)'!D30</f>
        <v>5</v>
      </c>
      <c r="E16" s="496">
        <f>'OpStatsTotals(DR)'!E30</f>
        <v>4</v>
      </c>
      <c r="F16" s="496">
        <f>'OpStatsTotals(DR)'!F30</f>
        <v>4</v>
      </c>
      <c r="G16" s="496">
        <f>'OpStatsTotals(DR)'!G30</f>
        <v>5</v>
      </c>
      <c r="H16" s="496">
        <f>'OpStatsTotals(DR)'!H30</f>
        <v>4</v>
      </c>
      <c r="I16" s="496">
        <f>'OpStatsTotals(DR)'!I30</f>
        <v>0</v>
      </c>
      <c r="J16" s="496">
        <f>'OpStatsTotals(DR)'!J30</f>
        <v>0</v>
      </c>
      <c r="K16" s="496">
        <f>'OpStatsTotals(DR)'!K30</f>
        <v>0</v>
      </c>
      <c r="L16" s="496">
        <f>'OpStatsTotals(DR)'!L30</f>
        <v>0</v>
      </c>
      <c r="M16" s="496">
        <f>'OpStatsTotals(DR)'!M30</f>
        <v>0</v>
      </c>
      <c r="N16" s="496">
        <f>'OpStatsTotals(DR)'!N30</f>
        <v>0</v>
      </c>
      <c r="O16" s="496">
        <f>C16+D16+E16</f>
        <v>13</v>
      </c>
      <c r="P16" s="496">
        <f>F16+G16+H16</f>
        <v>13</v>
      </c>
      <c r="Q16" s="496">
        <f>I16+J16+K16</f>
        <v>0</v>
      </c>
      <c r="R16" s="496">
        <f>L16+M16+N16</f>
        <v>0</v>
      </c>
      <c r="S16" s="496">
        <f>SUM(C16:N16)</f>
        <v>26</v>
      </c>
      <c r="T16" s="218"/>
    </row>
    <row r="17" spans="1:20" s="196" customFormat="1" ht="16.2" customHeight="1">
      <c r="A17" s="1082"/>
      <c r="B17" s="495" t="s">
        <v>274</v>
      </c>
      <c r="C17" s="497">
        <f>IF(C16=0,0,'OpStatsTotals(DR)'!C31)</f>
        <v>8</v>
      </c>
      <c r="D17" s="496">
        <f t="shared" ref="D17:N17" si="8">IF(D16=0,0,C17)</f>
        <v>8</v>
      </c>
      <c r="E17" s="496">
        <f t="shared" si="8"/>
        <v>8</v>
      </c>
      <c r="F17" s="496">
        <f t="shared" si="8"/>
        <v>8</v>
      </c>
      <c r="G17" s="496">
        <f t="shared" si="8"/>
        <v>8</v>
      </c>
      <c r="H17" s="496">
        <f t="shared" si="8"/>
        <v>8</v>
      </c>
      <c r="I17" s="496">
        <f t="shared" si="8"/>
        <v>0</v>
      </c>
      <c r="J17" s="496">
        <f t="shared" si="8"/>
        <v>0</v>
      </c>
      <c r="K17" s="496">
        <f t="shared" si="8"/>
        <v>0</v>
      </c>
      <c r="L17" s="496">
        <f t="shared" si="8"/>
        <v>0</v>
      </c>
      <c r="M17" s="496">
        <f t="shared" si="8"/>
        <v>0</v>
      </c>
      <c r="N17" s="496">
        <f t="shared" si="8"/>
        <v>0</v>
      </c>
      <c r="O17" s="497">
        <f>MAX(C17,D17,E17)</f>
        <v>8</v>
      </c>
      <c r="P17" s="497">
        <f>MAX(F17,G17,H17)</f>
        <v>8</v>
      </c>
      <c r="Q17" s="497">
        <f>MAX(I17,J17,K17)</f>
        <v>0</v>
      </c>
      <c r="R17" s="497">
        <f>MAX(L17,M17,N17)</f>
        <v>0</v>
      </c>
      <c r="S17" s="497">
        <f>MAX(C17:N17)</f>
        <v>8</v>
      </c>
      <c r="T17" s="218"/>
    </row>
    <row r="18" spans="1:20" s="195" customFormat="1" ht="16.2" customHeight="1">
      <c r="A18" s="1082"/>
      <c r="B18" s="495" t="s">
        <v>225</v>
      </c>
      <c r="C18" s="496">
        <f t="shared" ref="C18:N18" si="9">C17</f>
        <v>8</v>
      </c>
      <c r="D18" s="496">
        <f t="shared" si="9"/>
        <v>8</v>
      </c>
      <c r="E18" s="496">
        <f t="shared" si="9"/>
        <v>8</v>
      </c>
      <c r="F18" s="496">
        <f t="shared" si="9"/>
        <v>8</v>
      </c>
      <c r="G18" s="496">
        <f t="shared" si="9"/>
        <v>8</v>
      </c>
      <c r="H18" s="496">
        <f t="shared" si="9"/>
        <v>8</v>
      </c>
      <c r="I18" s="496">
        <f t="shared" si="9"/>
        <v>0</v>
      </c>
      <c r="J18" s="496">
        <f t="shared" si="9"/>
        <v>0</v>
      </c>
      <c r="K18" s="496">
        <f t="shared" si="9"/>
        <v>0</v>
      </c>
      <c r="L18" s="496">
        <f t="shared" si="9"/>
        <v>0</v>
      </c>
      <c r="M18" s="496">
        <f t="shared" si="9"/>
        <v>0</v>
      </c>
      <c r="N18" s="496">
        <f t="shared" si="9"/>
        <v>0</v>
      </c>
      <c r="O18" s="497">
        <f>(C18+D18+E18)</f>
        <v>24</v>
      </c>
      <c r="P18" s="497">
        <f t="shared" ref="P18:P24" si="10">F18+G18+H18</f>
        <v>24</v>
      </c>
      <c r="Q18" s="497">
        <f>+I18+J18+K18</f>
        <v>0</v>
      </c>
      <c r="R18" s="497">
        <f t="shared" ref="R18:R24" si="11">L18+M18+N18</f>
        <v>0</v>
      </c>
      <c r="S18" s="497">
        <f>O18+P18+Q18+R18</f>
        <v>48</v>
      </c>
      <c r="T18" s="218"/>
    </row>
    <row r="19" spans="1:20" s="195" customFormat="1" ht="16.2" customHeight="1">
      <c r="A19" s="1082"/>
      <c r="B19" s="495" t="s">
        <v>226</v>
      </c>
      <c r="C19" s="498">
        <f>'OpStatsTotals(DR)'!C48</f>
        <v>306</v>
      </c>
      <c r="D19" s="498">
        <f>'OpStatsTotals(DR)'!D48</f>
        <v>392</v>
      </c>
      <c r="E19" s="498">
        <f>'OpStatsTotals(DR)'!E48</f>
        <v>345</v>
      </c>
      <c r="F19" s="498">
        <f>'OpStatsTotals(DR)'!F48</f>
        <v>276</v>
      </c>
      <c r="G19" s="498">
        <f>'OpStatsTotals(DR)'!G48</f>
        <v>307</v>
      </c>
      <c r="H19" s="498">
        <f>'OpStatsTotals(DR)'!H48</f>
        <v>289</v>
      </c>
      <c r="I19" s="498">
        <f>'OpStatsTotals(DR)'!I48</f>
        <v>0</v>
      </c>
      <c r="J19" s="498">
        <f>'OpStatsTotals(DR)'!J48</f>
        <v>0</v>
      </c>
      <c r="K19" s="498">
        <f>'OpStatsTotals(DR)'!K48</f>
        <v>0</v>
      </c>
      <c r="L19" s="498">
        <f>'OpStatsTotals(DR)'!L48</f>
        <v>0</v>
      </c>
      <c r="M19" s="498">
        <f>'OpStatsTotals(DR)'!M48</f>
        <v>0</v>
      </c>
      <c r="N19" s="498">
        <f>'OpStatsTotals(DR)'!N48</f>
        <v>0</v>
      </c>
      <c r="O19" s="498">
        <f t="shared" ref="O19:O24" si="12">C19+D19+E19</f>
        <v>1043</v>
      </c>
      <c r="P19" s="498">
        <f t="shared" si="10"/>
        <v>872</v>
      </c>
      <c r="Q19" s="498">
        <f t="shared" ref="Q19:Q24" si="13">I19+J19+K19</f>
        <v>0</v>
      </c>
      <c r="R19" s="498">
        <f t="shared" si="11"/>
        <v>0</v>
      </c>
      <c r="S19" s="498">
        <f t="shared" ref="S19:S24" si="14">SUM(C19:N19)</f>
        <v>1915</v>
      </c>
      <c r="T19" s="219">
        <f t="shared" ref="T19:T24" si="15">IFERROR(S19/$S$16,0)</f>
        <v>73.65384615384616</v>
      </c>
    </row>
    <row r="20" spans="1:20" s="195" customFormat="1" ht="16.2" customHeight="1">
      <c r="A20" s="1082"/>
      <c r="B20" s="495" t="s">
        <v>276</v>
      </c>
      <c r="C20" s="498">
        <f>'OpStatsTotals(DR)'!C42</f>
        <v>2596</v>
      </c>
      <c r="D20" s="498">
        <f>'OpStatsTotals(DR)'!D42</f>
        <v>3289</v>
      </c>
      <c r="E20" s="498">
        <f>'OpStatsTotals(DR)'!E42</f>
        <v>2700</v>
      </c>
      <c r="F20" s="498">
        <f>'OpStatsTotals(DR)'!F42</f>
        <v>2371</v>
      </c>
      <c r="G20" s="498">
        <f>'OpStatsTotals(DR)'!G42</f>
        <v>2756</v>
      </c>
      <c r="H20" s="498">
        <f>'OpStatsTotals(DR)'!H42</f>
        <v>2075</v>
      </c>
      <c r="I20" s="498">
        <f>'OpStatsTotals(DR)'!I42</f>
        <v>0</v>
      </c>
      <c r="J20" s="498">
        <f>'OpStatsTotals(DR)'!J42</f>
        <v>0</v>
      </c>
      <c r="K20" s="498">
        <f>'OpStatsTotals(DR)'!K42</f>
        <v>0</v>
      </c>
      <c r="L20" s="498">
        <f>'OpStatsTotals(DR)'!L42</f>
        <v>0</v>
      </c>
      <c r="M20" s="498">
        <f>'OpStatsTotals(DR)'!M42</f>
        <v>0</v>
      </c>
      <c r="N20" s="498">
        <f>'OpStatsTotals(DR)'!N42</f>
        <v>0</v>
      </c>
      <c r="O20" s="498">
        <f t="shared" si="12"/>
        <v>8585</v>
      </c>
      <c r="P20" s="498">
        <f t="shared" si="10"/>
        <v>7202</v>
      </c>
      <c r="Q20" s="498">
        <f t="shared" si="13"/>
        <v>0</v>
      </c>
      <c r="R20" s="498">
        <f t="shared" si="11"/>
        <v>0</v>
      </c>
      <c r="S20" s="498">
        <f t="shared" si="14"/>
        <v>15787</v>
      </c>
      <c r="T20" s="219">
        <f t="shared" si="15"/>
        <v>607.19230769230774</v>
      </c>
    </row>
    <row r="21" spans="1:20" s="195" customFormat="1" ht="16.2" customHeight="1">
      <c r="A21" s="1082"/>
      <c r="B21" s="495" t="s">
        <v>275</v>
      </c>
      <c r="C21" s="498">
        <f>'OpStatsTotals(DR)'!C39</f>
        <v>146</v>
      </c>
      <c r="D21" s="498">
        <f>'OpStatsTotals(DR)'!D39</f>
        <v>172</v>
      </c>
      <c r="E21" s="498">
        <f>'OpStatsTotals(DR)'!E39</f>
        <v>156</v>
      </c>
      <c r="F21" s="498">
        <f>'OpStatsTotals(DR)'!F39</f>
        <v>131</v>
      </c>
      <c r="G21" s="498">
        <f>'OpStatsTotals(DR)'!G39</f>
        <v>153</v>
      </c>
      <c r="H21" s="498">
        <f>'OpStatsTotals(DR)'!H39</f>
        <v>123</v>
      </c>
      <c r="I21" s="498">
        <f>'OpStatsTotals(DR)'!I39</f>
        <v>0</v>
      </c>
      <c r="J21" s="498">
        <f>'OpStatsTotals(DR)'!J39</f>
        <v>0</v>
      </c>
      <c r="K21" s="498">
        <f>'OpStatsTotals(DR)'!K39</f>
        <v>0</v>
      </c>
      <c r="L21" s="498">
        <f>'OpStatsTotals(DR)'!L39</f>
        <v>0</v>
      </c>
      <c r="M21" s="498">
        <f>'OpStatsTotals(DR)'!M39</f>
        <v>0</v>
      </c>
      <c r="N21" s="498">
        <f>'OpStatsTotals(DR)'!N39</f>
        <v>0</v>
      </c>
      <c r="O21" s="498">
        <f t="shared" si="12"/>
        <v>474</v>
      </c>
      <c r="P21" s="498">
        <f t="shared" si="10"/>
        <v>407</v>
      </c>
      <c r="Q21" s="498">
        <f t="shared" si="13"/>
        <v>0</v>
      </c>
      <c r="R21" s="498">
        <f t="shared" si="11"/>
        <v>0</v>
      </c>
      <c r="S21" s="498">
        <f t="shared" si="14"/>
        <v>881</v>
      </c>
      <c r="T21" s="219">
        <f t="shared" si="15"/>
        <v>33.884615384615387</v>
      </c>
    </row>
    <row r="22" spans="1:20" s="197" customFormat="1" ht="16.2" customHeight="1">
      <c r="A22" s="1082"/>
      <c r="B22" s="202" t="s">
        <v>282</v>
      </c>
      <c r="C22" s="205">
        <f>'OpStatsTotals(DR)'!C36</f>
        <v>3447</v>
      </c>
      <c r="D22" s="205">
        <f>'OpStatsTotals(DR)'!D36</f>
        <v>4453</v>
      </c>
      <c r="E22" s="205">
        <f>'OpStatsTotals(DR)'!E36</f>
        <v>3487</v>
      </c>
      <c r="F22" s="205">
        <f>'OpStatsTotals(DR)'!F36</f>
        <v>3153</v>
      </c>
      <c r="G22" s="205">
        <f>'OpStatsTotals(DR)'!G36</f>
        <v>3616</v>
      </c>
      <c r="H22" s="205">
        <f>'OpStatsTotals(DR)'!H36</f>
        <v>2798</v>
      </c>
      <c r="I22" s="205">
        <f>'OpStatsTotals(DR)'!I36</f>
        <v>0</v>
      </c>
      <c r="J22" s="205">
        <f>'OpStatsTotals(DR)'!J36</f>
        <v>0</v>
      </c>
      <c r="K22" s="205">
        <f>'OpStatsTotals(DR)'!K36</f>
        <v>0</v>
      </c>
      <c r="L22" s="205">
        <f>'OpStatsTotals(DR)'!L36</f>
        <v>0</v>
      </c>
      <c r="M22" s="205">
        <f>'OpStatsTotals(DR)'!M36</f>
        <v>0</v>
      </c>
      <c r="N22" s="205">
        <f>'OpStatsTotals(DR)'!N36</f>
        <v>0</v>
      </c>
      <c r="O22" s="205">
        <f t="shared" si="12"/>
        <v>11387</v>
      </c>
      <c r="P22" s="205">
        <f t="shared" si="10"/>
        <v>9567</v>
      </c>
      <c r="Q22" s="205">
        <f t="shared" si="13"/>
        <v>0</v>
      </c>
      <c r="R22" s="205">
        <f t="shared" si="11"/>
        <v>0</v>
      </c>
      <c r="S22" s="205">
        <f t="shared" si="14"/>
        <v>20954</v>
      </c>
      <c r="T22" s="220">
        <f t="shared" si="15"/>
        <v>805.92307692307691</v>
      </c>
    </row>
    <row r="23" spans="1:20" s="197" customFormat="1" ht="16.2" customHeight="1">
      <c r="A23" s="1082"/>
      <c r="B23" s="202" t="s">
        <v>283</v>
      </c>
      <c r="C23" s="205">
        <f>'OpStatsTotals(DR)'!C33</f>
        <v>235</v>
      </c>
      <c r="D23" s="205">
        <f>'OpStatsTotals(DR)'!D33</f>
        <v>263</v>
      </c>
      <c r="E23" s="205">
        <f>'OpStatsTotals(DR)'!E33</f>
        <v>218</v>
      </c>
      <c r="F23" s="205">
        <f>'OpStatsTotals(DR)'!F33</f>
        <v>186</v>
      </c>
      <c r="G23" s="205">
        <f>'OpStatsTotals(DR)'!G33</f>
        <v>213</v>
      </c>
      <c r="H23" s="205">
        <f>'OpStatsTotals(DR)'!H33</f>
        <v>176</v>
      </c>
      <c r="I23" s="205">
        <f>'OpStatsTotals(DR)'!I33</f>
        <v>0</v>
      </c>
      <c r="J23" s="205">
        <f>'OpStatsTotals(DR)'!J33</f>
        <v>0</v>
      </c>
      <c r="K23" s="205">
        <f>'OpStatsTotals(DR)'!K33</f>
        <v>0</v>
      </c>
      <c r="L23" s="205">
        <f>'OpStatsTotals(DR)'!L33</f>
        <v>0</v>
      </c>
      <c r="M23" s="205">
        <f>'OpStatsTotals(DR)'!M33</f>
        <v>0</v>
      </c>
      <c r="N23" s="205">
        <f>'OpStatsTotals(DR)'!N33</f>
        <v>0</v>
      </c>
      <c r="O23" s="205">
        <f t="shared" si="12"/>
        <v>716</v>
      </c>
      <c r="P23" s="205">
        <f t="shared" si="10"/>
        <v>575</v>
      </c>
      <c r="Q23" s="205">
        <f t="shared" si="13"/>
        <v>0</v>
      </c>
      <c r="R23" s="205">
        <f t="shared" si="11"/>
        <v>0</v>
      </c>
      <c r="S23" s="205">
        <f t="shared" si="14"/>
        <v>1291</v>
      </c>
      <c r="T23" s="220">
        <f t="shared" si="15"/>
        <v>49.653846153846153</v>
      </c>
    </row>
    <row r="24" spans="1:20" s="195" customFormat="1" ht="16.2" customHeight="1">
      <c r="A24" s="1082"/>
      <c r="B24" s="201" t="s">
        <v>241</v>
      </c>
      <c r="C24" s="205">
        <f>'OpStatsTotals(DR)'!C45</f>
        <v>2681</v>
      </c>
      <c r="D24" s="205">
        <f>'OpStatsTotals(DR)'!D45</f>
        <v>3444</v>
      </c>
      <c r="E24" s="205">
        <f>'OpStatsTotals(DR)'!E45</f>
        <v>2884</v>
      </c>
      <c r="F24" s="205">
        <f>'OpStatsTotals(DR)'!F45</f>
        <v>2254</v>
      </c>
      <c r="G24" s="205">
        <f>'OpStatsTotals(DR)'!G45</f>
        <v>2293</v>
      </c>
      <c r="H24" s="205">
        <f>'OpStatsTotals(DR)'!H45</f>
        <v>2047</v>
      </c>
      <c r="I24" s="205">
        <f>'OpStatsTotals(DR)'!I45</f>
        <v>0</v>
      </c>
      <c r="J24" s="205">
        <f>'OpStatsTotals(DR)'!J45</f>
        <v>0</v>
      </c>
      <c r="K24" s="205">
        <f>'OpStatsTotals(DR)'!K45</f>
        <v>0</v>
      </c>
      <c r="L24" s="205">
        <f>'OpStatsTotals(DR)'!L45</f>
        <v>0</v>
      </c>
      <c r="M24" s="205">
        <f>'OpStatsTotals(DR)'!M45</f>
        <v>0</v>
      </c>
      <c r="N24" s="205">
        <f>'OpStatsTotals(DR)'!N45</f>
        <v>0</v>
      </c>
      <c r="O24" s="205">
        <f t="shared" si="12"/>
        <v>9009</v>
      </c>
      <c r="P24" s="205">
        <f t="shared" si="10"/>
        <v>6594</v>
      </c>
      <c r="Q24" s="205">
        <f t="shared" si="13"/>
        <v>0</v>
      </c>
      <c r="R24" s="205">
        <f t="shared" si="11"/>
        <v>0</v>
      </c>
      <c r="S24" s="205">
        <f t="shared" si="14"/>
        <v>15603</v>
      </c>
      <c r="T24" s="220">
        <f t="shared" si="15"/>
        <v>600.11538461538464</v>
      </c>
    </row>
    <row r="25" spans="1:20" s="198" customFormat="1" ht="5.4" customHeight="1">
      <c r="A25" s="221"/>
      <c r="B25" s="203"/>
      <c r="C25" s="206"/>
      <c r="D25" s="206"/>
      <c r="E25" s="206"/>
      <c r="F25" s="206"/>
      <c r="G25" s="206"/>
      <c r="H25" s="206"/>
      <c r="I25" s="206"/>
      <c r="J25" s="206"/>
      <c r="K25" s="206"/>
      <c r="L25" s="206"/>
      <c r="M25" s="206"/>
      <c r="N25" s="206"/>
      <c r="O25" s="200"/>
      <c r="P25" s="200"/>
      <c r="Q25" s="200"/>
      <c r="R25" s="200"/>
      <c r="S25" s="200"/>
      <c r="T25" s="222"/>
    </row>
    <row r="26" spans="1:20" s="195" customFormat="1" ht="16.2" customHeight="1">
      <c r="A26" s="1081" t="s">
        <v>229</v>
      </c>
      <c r="B26" s="495" t="s">
        <v>187</v>
      </c>
      <c r="C26" s="496">
        <f>'OpStatsTotals(DR)'!C57</f>
        <v>4</v>
      </c>
      <c r="D26" s="496">
        <f>'OpStatsTotals(DR)'!D57</f>
        <v>4</v>
      </c>
      <c r="E26" s="496">
        <f>'OpStatsTotals(DR)'!E57</f>
        <v>5</v>
      </c>
      <c r="F26" s="496">
        <f>'OpStatsTotals(DR)'!F57</f>
        <v>4</v>
      </c>
      <c r="G26" s="496">
        <f>'OpStatsTotals(DR)'!G57</f>
        <v>4</v>
      </c>
      <c r="H26" s="496">
        <f>'OpStatsTotals(DR)'!H57</f>
        <v>5</v>
      </c>
      <c r="I26" s="496">
        <f>'OpStatsTotals(DR)'!I57</f>
        <v>0</v>
      </c>
      <c r="J26" s="496">
        <f>'OpStatsTotals(DR)'!J57</f>
        <v>0</v>
      </c>
      <c r="K26" s="496">
        <f>'OpStatsTotals(DR)'!K57</f>
        <v>0</v>
      </c>
      <c r="L26" s="496">
        <f>'OpStatsTotals(DR)'!L57</f>
        <v>0</v>
      </c>
      <c r="M26" s="496">
        <f>'OpStatsTotals(DR)'!M57</f>
        <v>0</v>
      </c>
      <c r="N26" s="496">
        <f>'OpStatsTotals(DR)'!N57</f>
        <v>0</v>
      </c>
      <c r="O26" s="496">
        <f>C26+D26+E26</f>
        <v>13</v>
      </c>
      <c r="P26" s="496">
        <f>F26+G26+H26</f>
        <v>13</v>
      </c>
      <c r="Q26" s="496">
        <f>I26+J26+K26</f>
        <v>0</v>
      </c>
      <c r="R26" s="496">
        <f>L26+M26+N26</f>
        <v>0</v>
      </c>
      <c r="S26" s="496">
        <f>SUM(C26:N26)</f>
        <v>26</v>
      </c>
      <c r="T26" s="218"/>
    </row>
    <row r="27" spans="1:20" s="196" customFormat="1" ht="16.2" customHeight="1">
      <c r="A27" s="1082"/>
      <c r="B27" s="495" t="s">
        <v>274</v>
      </c>
      <c r="C27" s="497">
        <f>IF(C26=0,0,'OpStatsTotals(DR)'!C58)</f>
        <v>2</v>
      </c>
      <c r="D27" s="497">
        <f t="shared" ref="D27:N27" si="16">IF(D26=0,0,C27)</f>
        <v>2</v>
      </c>
      <c r="E27" s="497">
        <f t="shared" si="16"/>
        <v>2</v>
      </c>
      <c r="F27" s="497">
        <f t="shared" si="16"/>
        <v>2</v>
      </c>
      <c r="G27" s="497">
        <f t="shared" si="16"/>
        <v>2</v>
      </c>
      <c r="H27" s="497">
        <f t="shared" si="16"/>
        <v>2</v>
      </c>
      <c r="I27" s="497">
        <f t="shared" si="16"/>
        <v>0</v>
      </c>
      <c r="J27" s="497">
        <f t="shared" si="16"/>
        <v>0</v>
      </c>
      <c r="K27" s="497">
        <f t="shared" si="16"/>
        <v>0</v>
      </c>
      <c r="L27" s="497">
        <f t="shared" si="16"/>
        <v>0</v>
      </c>
      <c r="M27" s="497">
        <f t="shared" si="16"/>
        <v>0</v>
      </c>
      <c r="N27" s="497">
        <f t="shared" si="16"/>
        <v>0</v>
      </c>
      <c r="O27" s="497">
        <f>MAX(C27,D27,E27)</f>
        <v>2</v>
      </c>
      <c r="P27" s="497">
        <f>MAX(F27,G27,H27)</f>
        <v>2</v>
      </c>
      <c r="Q27" s="497">
        <f>MAX(I27,J27,K27)</f>
        <v>0</v>
      </c>
      <c r="R27" s="497">
        <f>MAX(L27,M27,N27)</f>
        <v>0</v>
      </c>
      <c r="S27" s="497">
        <f>MAX(C27:N27)</f>
        <v>2</v>
      </c>
      <c r="T27" s="218"/>
    </row>
    <row r="28" spans="1:20" s="195" customFormat="1" ht="16.2" customHeight="1">
      <c r="A28" s="1082"/>
      <c r="B28" s="495" t="s">
        <v>225</v>
      </c>
      <c r="C28" s="497">
        <f t="shared" ref="C28:N28" si="17">C27</f>
        <v>2</v>
      </c>
      <c r="D28" s="497">
        <f t="shared" si="17"/>
        <v>2</v>
      </c>
      <c r="E28" s="497">
        <f t="shared" si="17"/>
        <v>2</v>
      </c>
      <c r="F28" s="497">
        <f t="shared" si="17"/>
        <v>2</v>
      </c>
      <c r="G28" s="497">
        <f t="shared" si="17"/>
        <v>2</v>
      </c>
      <c r="H28" s="497">
        <f t="shared" si="17"/>
        <v>2</v>
      </c>
      <c r="I28" s="497">
        <f t="shared" si="17"/>
        <v>0</v>
      </c>
      <c r="J28" s="497">
        <f t="shared" si="17"/>
        <v>0</v>
      </c>
      <c r="K28" s="497">
        <f t="shared" si="17"/>
        <v>0</v>
      </c>
      <c r="L28" s="497">
        <f t="shared" si="17"/>
        <v>0</v>
      </c>
      <c r="M28" s="497">
        <f t="shared" si="17"/>
        <v>0</v>
      </c>
      <c r="N28" s="497">
        <f t="shared" si="17"/>
        <v>0</v>
      </c>
      <c r="O28" s="497">
        <f>(C28+D28+E28)</f>
        <v>6</v>
      </c>
      <c r="P28" s="497">
        <f t="shared" ref="P28:P34" si="18">F28+G28+H28</f>
        <v>6</v>
      </c>
      <c r="Q28" s="497">
        <f>+I28+J28+K28</f>
        <v>0</v>
      </c>
      <c r="R28" s="497">
        <f t="shared" ref="R28:R34" si="19">L28+M28+N28</f>
        <v>0</v>
      </c>
      <c r="S28" s="497">
        <f>O28+P28+Q28+R28</f>
        <v>12</v>
      </c>
      <c r="T28" s="218"/>
    </row>
    <row r="29" spans="1:20" s="195" customFormat="1" ht="16.2" customHeight="1">
      <c r="A29" s="1082"/>
      <c r="B29" s="495" t="s">
        <v>226</v>
      </c>
      <c r="C29" s="498">
        <f>'OpStatsTotals(DR)'!C75</f>
        <v>129</v>
      </c>
      <c r="D29" s="498">
        <f>'OpStatsTotals(DR)'!D75</f>
        <v>93</v>
      </c>
      <c r="E29" s="498">
        <f>'OpStatsTotals(DR)'!E75</f>
        <v>147</v>
      </c>
      <c r="F29" s="498">
        <f>'OpStatsTotals(DR)'!F75</f>
        <v>104</v>
      </c>
      <c r="G29" s="498">
        <f>'OpStatsTotals(DR)'!G75</f>
        <v>103</v>
      </c>
      <c r="H29" s="498">
        <f>'OpStatsTotals(DR)'!H75</f>
        <v>119</v>
      </c>
      <c r="I29" s="498">
        <f>'OpStatsTotals(DR)'!I75</f>
        <v>0</v>
      </c>
      <c r="J29" s="498">
        <f>'OpStatsTotals(DR)'!J75</f>
        <v>0</v>
      </c>
      <c r="K29" s="498">
        <f>'OpStatsTotals(DR)'!K75</f>
        <v>0</v>
      </c>
      <c r="L29" s="498">
        <f>'OpStatsTotals(DR)'!L75</f>
        <v>0</v>
      </c>
      <c r="M29" s="498">
        <f>'OpStatsTotals(DR)'!M75</f>
        <v>0</v>
      </c>
      <c r="N29" s="498">
        <f>'OpStatsTotals(DR)'!N75</f>
        <v>0</v>
      </c>
      <c r="O29" s="498">
        <f t="shared" ref="O29:O34" si="20">C29+D29+E29</f>
        <v>369</v>
      </c>
      <c r="P29" s="498">
        <f t="shared" si="18"/>
        <v>326</v>
      </c>
      <c r="Q29" s="498">
        <f t="shared" ref="Q29:Q34" si="21">I29+J29+K29</f>
        <v>0</v>
      </c>
      <c r="R29" s="498">
        <f t="shared" si="19"/>
        <v>0</v>
      </c>
      <c r="S29" s="498">
        <f t="shared" ref="S29:S34" si="22">SUM(C29:N29)</f>
        <v>695</v>
      </c>
      <c r="T29" s="219">
        <f t="shared" ref="T29:T34" si="23">IFERROR(S29/$S$26,0)</f>
        <v>26.73076923076923</v>
      </c>
    </row>
    <row r="30" spans="1:20" s="195" customFormat="1" ht="16.2" customHeight="1">
      <c r="A30" s="1082"/>
      <c r="B30" s="495" t="s">
        <v>276</v>
      </c>
      <c r="C30" s="498">
        <f>'OpStatsTotals(DR)'!C69</f>
        <v>1006</v>
      </c>
      <c r="D30" s="498">
        <f>'OpStatsTotals(DR)'!D69</f>
        <v>840</v>
      </c>
      <c r="E30" s="498">
        <f>'OpStatsTotals(DR)'!E69</f>
        <v>1296</v>
      </c>
      <c r="F30" s="498">
        <f>'OpStatsTotals(DR)'!F69</f>
        <v>851</v>
      </c>
      <c r="G30" s="498">
        <f>'OpStatsTotals(DR)'!G69</f>
        <v>885</v>
      </c>
      <c r="H30" s="498">
        <f>'OpStatsTotals(DR)'!H69</f>
        <v>1018</v>
      </c>
      <c r="I30" s="498">
        <f>'OpStatsTotals(DR)'!I69</f>
        <v>0</v>
      </c>
      <c r="J30" s="498">
        <f>'OpStatsTotals(DR)'!J69</f>
        <v>0</v>
      </c>
      <c r="K30" s="498">
        <f>'OpStatsTotals(DR)'!K69</f>
        <v>0</v>
      </c>
      <c r="L30" s="498">
        <f>'OpStatsTotals(DR)'!L69</f>
        <v>0</v>
      </c>
      <c r="M30" s="498">
        <f>'OpStatsTotals(DR)'!M69</f>
        <v>0</v>
      </c>
      <c r="N30" s="498">
        <f>'OpStatsTotals(DR)'!N69</f>
        <v>0</v>
      </c>
      <c r="O30" s="498">
        <f t="shared" si="20"/>
        <v>3142</v>
      </c>
      <c r="P30" s="498">
        <f t="shared" si="18"/>
        <v>2754</v>
      </c>
      <c r="Q30" s="498">
        <f t="shared" si="21"/>
        <v>0</v>
      </c>
      <c r="R30" s="498">
        <f t="shared" si="19"/>
        <v>0</v>
      </c>
      <c r="S30" s="498">
        <f t="shared" si="22"/>
        <v>5896</v>
      </c>
      <c r="T30" s="219">
        <f t="shared" si="23"/>
        <v>226.76923076923077</v>
      </c>
    </row>
    <row r="31" spans="1:20" s="195" customFormat="1" ht="16.2" customHeight="1">
      <c r="A31" s="1082"/>
      <c r="B31" s="495" t="s">
        <v>275</v>
      </c>
      <c r="C31" s="498">
        <f>'OpStatsTotals(DR)'!C66</f>
        <v>57</v>
      </c>
      <c r="D31" s="498">
        <f>'OpStatsTotals(DR)'!D66</f>
        <v>40</v>
      </c>
      <c r="E31" s="498">
        <f>'OpStatsTotals(DR)'!E66</f>
        <v>68</v>
      </c>
      <c r="F31" s="498">
        <f>'OpStatsTotals(DR)'!F66</f>
        <v>49</v>
      </c>
      <c r="G31" s="498">
        <f>'OpStatsTotals(DR)'!G66</f>
        <v>47</v>
      </c>
      <c r="H31" s="498">
        <f>'OpStatsTotals(DR)'!H66</f>
        <v>53</v>
      </c>
      <c r="I31" s="498">
        <f>'OpStatsTotals(DR)'!I66</f>
        <v>0</v>
      </c>
      <c r="J31" s="498">
        <f>'OpStatsTotals(DR)'!J66</f>
        <v>0</v>
      </c>
      <c r="K31" s="498">
        <f>'OpStatsTotals(DR)'!K66</f>
        <v>0</v>
      </c>
      <c r="L31" s="498">
        <f>'OpStatsTotals(DR)'!L66</f>
        <v>0</v>
      </c>
      <c r="M31" s="498">
        <f>'OpStatsTotals(DR)'!M66</f>
        <v>0</v>
      </c>
      <c r="N31" s="498">
        <f>'OpStatsTotals(DR)'!N66</f>
        <v>0</v>
      </c>
      <c r="O31" s="498">
        <f t="shared" si="20"/>
        <v>165</v>
      </c>
      <c r="P31" s="498">
        <f t="shared" si="18"/>
        <v>149</v>
      </c>
      <c r="Q31" s="498">
        <f t="shared" si="21"/>
        <v>0</v>
      </c>
      <c r="R31" s="498">
        <f t="shared" si="19"/>
        <v>0</v>
      </c>
      <c r="S31" s="498">
        <f t="shared" si="22"/>
        <v>314</v>
      </c>
      <c r="T31" s="219">
        <f t="shared" si="23"/>
        <v>12.076923076923077</v>
      </c>
    </row>
    <row r="32" spans="1:20" s="195" customFormat="1" ht="16.2" customHeight="1">
      <c r="A32" s="1082"/>
      <c r="B32" s="202" t="s">
        <v>282</v>
      </c>
      <c r="C32" s="205">
        <f>'OpStatsTotals(DR)'!C63</f>
        <v>1391</v>
      </c>
      <c r="D32" s="205">
        <f>'OpStatsTotals(DR)'!D63</f>
        <v>1260</v>
      </c>
      <c r="E32" s="205">
        <f>'OpStatsTotals(DR)'!E63</f>
        <v>1896</v>
      </c>
      <c r="F32" s="205">
        <f>'OpStatsTotals(DR)'!F63</f>
        <v>1233</v>
      </c>
      <c r="G32" s="205">
        <f>'OpStatsTotals(DR)'!G63</f>
        <v>1446</v>
      </c>
      <c r="H32" s="205">
        <f>'OpStatsTotals(DR)'!H63</f>
        <v>1542</v>
      </c>
      <c r="I32" s="205">
        <f>'OpStatsTotals(DR)'!I63</f>
        <v>0</v>
      </c>
      <c r="J32" s="205">
        <f>'OpStatsTotals(DR)'!J63</f>
        <v>0</v>
      </c>
      <c r="K32" s="205">
        <f>'OpStatsTotals(DR)'!K63</f>
        <v>0</v>
      </c>
      <c r="L32" s="205">
        <f>'OpStatsTotals(DR)'!L63</f>
        <v>0</v>
      </c>
      <c r="M32" s="205">
        <f>'OpStatsTotals(DR)'!M63</f>
        <v>0</v>
      </c>
      <c r="N32" s="205">
        <f>'OpStatsTotals(DR)'!N63</f>
        <v>0</v>
      </c>
      <c r="O32" s="205">
        <f t="shared" si="20"/>
        <v>4547</v>
      </c>
      <c r="P32" s="205">
        <f t="shared" si="18"/>
        <v>4221</v>
      </c>
      <c r="Q32" s="205">
        <f t="shared" si="21"/>
        <v>0</v>
      </c>
      <c r="R32" s="205">
        <f t="shared" si="19"/>
        <v>0</v>
      </c>
      <c r="S32" s="205">
        <f t="shared" si="22"/>
        <v>8768</v>
      </c>
      <c r="T32" s="220">
        <f t="shared" si="23"/>
        <v>337.23076923076923</v>
      </c>
    </row>
    <row r="33" spans="1:20" s="195" customFormat="1" ht="16.2" customHeight="1">
      <c r="A33" s="1082"/>
      <c r="B33" s="202" t="s">
        <v>283</v>
      </c>
      <c r="C33" s="205">
        <f>'OpStatsTotals(DR)'!C60</f>
        <v>92</v>
      </c>
      <c r="D33" s="205">
        <f>'OpStatsTotals(DR)'!D60</f>
        <v>78</v>
      </c>
      <c r="E33" s="205">
        <f>'OpStatsTotals(DR)'!E60</f>
        <v>119</v>
      </c>
      <c r="F33" s="205">
        <f>'OpStatsTotals(DR)'!F60</f>
        <v>80</v>
      </c>
      <c r="G33" s="205">
        <f>'OpStatsTotals(DR)'!G60</f>
        <v>99</v>
      </c>
      <c r="H33" s="205">
        <f>'OpStatsTotals(DR)'!H60</f>
        <v>99</v>
      </c>
      <c r="I33" s="205">
        <f>'OpStatsTotals(DR)'!I60</f>
        <v>0</v>
      </c>
      <c r="J33" s="205">
        <f>'OpStatsTotals(DR)'!J60</f>
        <v>0</v>
      </c>
      <c r="K33" s="205">
        <f>'OpStatsTotals(DR)'!K60</f>
        <v>0</v>
      </c>
      <c r="L33" s="205">
        <f>'OpStatsTotals(DR)'!L60</f>
        <v>0</v>
      </c>
      <c r="M33" s="205">
        <f>'OpStatsTotals(DR)'!M60</f>
        <v>0</v>
      </c>
      <c r="N33" s="205">
        <f>'OpStatsTotals(DR)'!N60</f>
        <v>0</v>
      </c>
      <c r="O33" s="205">
        <f t="shared" si="20"/>
        <v>289</v>
      </c>
      <c r="P33" s="205">
        <f t="shared" si="18"/>
        <v>278</v>
      </c>
      <c r="Q33" s="205">
        <f t="shared" si="21"/>
        <v>0</v>
      </c>
      <c r="R33" s="205">
        <f t="shared" si="19"/>
        <v>0</v>
      </c>
      <c r="S33" s="205">
        <f t="shared" si="22"/>
        <v>567</v>
      </c>
      <c r="T33" s="220">
        <f t="shared" si="23"/>
        <v>21.807692307692307</v>
      </c>
    </row>
    <row r="34" spans="1:20" s="195" customFormat="1" ht="16.2" customHeight="1">
      <c r="A34" s="1082"/>
      <c r="B34" s="201" t="s">
        <v>241</v>
      </c>
      <c r="C34" s="205">
        <f>'OpStatsTotals(DR)'!C72</f>
        <v>806</v>
      </c>
      <c r="D34" s="205">
        <f>'OpStatsTotals(DR)'!D72</f>
        <v>648</v>
      </c>
      <c r="E34" s="205">
        <f>'OpStatsTotals(DR)'!E72</f>
        <v>1188</v>
      </c>
      <c r="F34" s="205">
        <f>'OpStatsTotals(DR)'!F72</f>
        <v>634</v>
      </c>
      <c r="G34" s="205">
        <f>'OpStatsTotals(DR)'!G72</f>
        <v>770</v>
      </c>
      <c r="H34" s="205">
        <f>'OpStatsTotals(DR)'!H72</f>
        <v>911</v>
      </c>
      <c r="I34" s="205">
        <f>'OpStatsTotals(DR)'!I72</f>
        <v>0</v>
      </c>
      <c r="J34" s="205">
        <f>'OpStatsTotals(DR)'!J72</f>
        <v>0</v>
      </c>
      <c r="K34" s="205">
        <f>'OpStatsTotals(DR)'!K72</f>
        <v>0</v>
      </c>
      <c r="L34" s="205">
        <f>'OpStatsTotals(DR)'!L72</f>
        <v>0</v>
      </c>
      <c r="M34" s="205">
        <f>'OpStatsTotals(DR)'!M72</f>
        <v>0</v>
      </c>
      <c r="N34" s="205">
        <f>'OpStatsTotals(DR)'!N72</f>
        <v>0</v>
      </c>
      <c r="O34" s="205">
        <f t="shared" si="20"/>
        <v>2642</v>
      </c>
      <c r="P34" s="205">
        <f t="shared" si="18"/>
        <v>2315</v>
      </c>
      <c r="Q34" s="205">
        <f t="shared" si="21"/>
        <v>0</v>
      </c>
      <c r="R34" s="205">
        <f t="shared" si="19"/>
        <v>0</v>
      </c>
      <c r="S34" s="205">
        <f t="shared" si="22"/>
        <v>4957</v>
      </c>
      <c r="T34" s="220">
        <f t="shared" si="23"/>
        <v>190.65384615384616</v>
      </c>
    </row>
    <row r="35" spans="1:20" s="198" customFormat="1" ht="5.4" customHeight="1">
      <c r="A35" s="221"/>
      <c r="B35" s="203"/>
      <c r="C35" s="206"/>
      <c r="D35" s="206"/>
      <c r="E35" s="206"/>
      <c r="F35" s="206"/>
      <c r="G35" s="206"/>
      <c r="H35" s="206"/>
      <c r="I35" s="206"/>
      <c r="J35" s="206"/>
      <c r="K35" s="206"/>
      <c r="L35" s="206"/>
      <c r="M35" s="206"/>
      <c r="N35" s="206"/>
      <c r="O35" s="200"/>
      <c r="P35" s="200"/>
      <c r="Q35" s="200"/>
      <c r="R35" s="200"/>
      <c r="S35" s="200"/>
      <c r="T35" s="222"/>
    </row>
    <row r="36" spans="1:20" s="198" customFormat="1" ht="16.2" customHeight="1">
      <c r="A36" s="1081" t="s">
        <v>278</v>
      </c>
      <c r="B36" s="495" t="s">
        <v>187</v>
      </c>
      <c r="C36" s="496">
        <f t="shared" ref="C36:S36" si="24">C6+C16+C26</f>
        <v>31</v>
      </c>
      <c r="D36" s="496">
        <f t="shared" si="24"/>
        <v>31</v>
      </c>
      <c r="E36" s="496">
        <f t="shared" si="24"/>
        <v>30</v>
      </c>
      <c r="F36" s="496">
        <f t="shared" si="24"/>
        <v>31</v>
      </c>
      <c r="G36" s="496">
        <f t="shared" si="24"/>
        <v>29</v>
      </c>
      <c r="H36" s="496">
        <f t="shared" si="24"/>
        <v>30</v>
      </c>
      <c r="I36" s="496">
        <f t="shared" si="24"/>
        <v>0</v>
      </c>
      <c r="J36" s="496">
        <f t="shared" si="24"/>
        <v>0</v>
      </c>
      <c r="K36" s="496">
        <f t="shared" si="24"/>
        <v>0</v>
      </c>
      <c r="L36" s="496">
        <f t="shared" si="24"/>
        <v>0</v>
      </c>
      <c r="M36" s="496">
        <f t="shared" si="24"/>
        <v>0</v>
      </c>
      <c r="N36" s="496">
        <f t="shared" si="24"/>
        <v>0</v>
      </c>
      <c r="O36" s="496">
        <f t="shared" si="24"/>
        <v>92</v>
      </c>
      <c r="P36" s="496">
        <f t="shared" si="24"/>
        <v>90</v>
      </c>
      <c r="Q36" s="496">
        <f t="shared" si="24"/>
        <v>0</v>
      </c>
      <c r="R36" s="496">
        <f t="shared" si="24"/>
        <v>0</v>
      </c>
      <c r="S36" s="496">
        <f t="shared" si="24"/>
        <v>182</v>
      </c>
      <c r="T36" s="218"/>
    </row>
    <row r="37" spans="1:20" s="199" customFormat="1" ht="16.2" customHeight="1">
      <c r="A37" s="1082"/>
      <c r="B37" s="495" t="s">
        <v>274</v>
      </c>
      <c r="C37" s="497">
        <f t="shared" ref="C37:N37" si="25">MAX(C7,C17,C27)</f>
        <v>31</v>
      </c>
      <c r="D37" s="497">
        <f t="shared" si="25"/>
        <v>31</v>
      </c>
      <c r="E37" s="497">
        <f t="shared" si="25"/>
        <v>31</v>
      </c>
      <c r="F37" s="497">
        <f t="shared" si="25"/>
        <v>31</v>
      </c>
      <c r="G37" s="497">
        <f t="shared" si="25"/>
        <v>31</v>
      </c>
      <c r="H37" s="497">
        <f t="shared" si="25"/>
        <v>31</v>
      </c>
      <c r="I37" s="497">
        <f t="shared" si="25"/>
        <v>0</v>
      </c>
      <c r="J37" s="497">
        <f t="shared" si="25"/>
        <v>0</v>
      </c>
      <c r="K37" s="497">
        <f t="shared" si="25"/>
        <v>0</v>
      </c>
      <c r="L37" s="497">
        <f t="shared" si="25"/>
        <v>0</v>
      </c>
      <c r="M37" s="497">
        <f t="shared" si="25"/>
        <v>0</v>
      </c>
      <c r="N37" s="497">
        <f t="shared" si="25"/>
        <v>0</v>
      </c>
      <c r="O37" s="497">
        <f>MAX(C37,D37,E37)</f>
        <v>31</v>
      </c>
      <c r="P37" s="497">
        <f>MAX(F37,G37,H37)</f>
        <v>31</v>
      </c>
      <c r="Q37" s="497">
        <f>MAX(I37,J37,K37)</f>
        <v>0</v>
      </c>
      <c r="R37" s="497">
        <f>MAX(L37,M37,N37)</f>
        <v>0</v>
      </c>
      <c r="S37" s="497">
        <f>MAX(C37:N37)</f>
        <v>31</v>
      </c>
      <c r="T37" s="218"/>
    </row>
    <row r="38" spans="1:20" s="198" customFormat="1" ht="16.2" customHeight="1">
      <c r="A38" s="1082"/>
      <c r="B38" s="495" t="s">
        <v>225</v>
      </c>
      <c r="C38" s="497">
        <f t="shared" ref="C38:N38" si="26">MAX(C8,C18,C28)</f>
        <v>31</v>
      </c>
      <c r="D38" s="497">
        <f t="shared" si="26"/>
        <v>31</v>
      </c>
      <c r="E38" s="497">
        <f t="shared" si="26"/>
        <v>31</v>
      </c>
      <c r="F38" s="497">
        <f t="shared" si="26"/>
        <v>31</v>
      </c>
      <c r="G38" s="497">
        <f t="shared" si="26"/>
        <v>31</v>
      </c>
      <c r="H38" s="497">
        <f t="shared" si="26"/>
        <v>31</v>
      </c>
      <c r="I38" s="497">
        <f t="shared" si="26"/>
        <v>0</v>
      </c>
      <c r="J38" s="497">
        <f t="shared" si="26"/>
        <v>0</v>
      </c>
      <c r="K38" s="497">
        <f t="shared" si="26"/>
        <v>0</v>
      </c>
      <c r="L38" s="497">
        <f t="shared" si="26"/>
        <v>0</v>
      </c>
      <c r="M38" s="497">
        <f t="shared" si="26"/>
        <v>0</v>
      </c>
      <c r="N38" s="497">
        <f t="shared" si="26"/>
        <v>0</v>
      </c>
      <c r="O38" s="497">
        <f>MAX(C38,D38,E38)</f>
        <v>31</v>
      </c>
      <c r="P38" s="497">
        <f>MAX(F38,G38,H38)</f>
        <v>31</v>
      </c>
      <c r="Q38" s="497">
        <f>MAX(I38,J38,K38)</f>
        <v>0</v>
      </c>
      <c r="R38" s="497">
        <f>MAX(L38,M38,N38)</f>
        <v>0</v>
      </c>
      <c r="S38" s="497">
        <f>MAX(C38:N38)</f>
        <v>31</v>
      </c>
      <c r="T38" s="218"/>
    </row>
    <row r="39" spans="1:20" s="198" customFormat="1" ht="16.2" customHeight="1">
      <c r="A39" s="1082"/>
      <c r="B39" s="495" t="s">
        <v>226</v>
      </c>
      <c r="C39" s="498">
        <f t="shared" ref="C39:S39" si="27">C9+C19+C29</f>
        <v>4067</v>
      </c>
      <c r="D39" s="498">
        <f t="shared" si="27"/>
        <v>3991</v>
      </c>
      <c r="E39" s="498">
        <f t="shared" si="27"/>
        <v>3815</v>
      </c>
      <c r="F39" s="498">
        <f t="shared" si="27"/>
        <v>4190</v>
      </c>
      <c r="G39" s="498">
        <f t="shared" si="27"/>
        <v>3423</v>
      </c>
      <c r="H39" s="498">
        <f t="shared" si="27"/>
        <v>3616</v>
      </c>
      <c r="I39" s="498">
        <f t="shared" si="27"/>
        <v>0</v>
      </c>
      <c r="J39" s="498">
        <f t="shared" si="27"/>
        <v>0</v>
      </c>
      <c r="K39" s="498">
        <f t="shared" si="27"/>
        <v>0</v>
      </c>
      <c r="L39" s="498">
        <f t="shared" si="27"/>
        <v>0</v>
      </c>
      <c r="M39" s="498">
        <f t="shared" si="27"/>
        <v>0</v>
      </c>
      <c r="N39" s="498">
        <f t="shared" si="27"/>
        <v>0</v>
      </c>
      <c r="O39" s="498">
        <f t="shared" si="27"/>
        <v>11873</v>
      </c>
      <c r="P39" s="498">
        <f t="shared" si="27"/>
        <v>11229</v>
      </c>
      <c r="Q39" s="498">
        <f t="shared" si="27"/>
        <v>0</v>
      </c>
      <c r="R39" s="498">
        <f t="shared" si="27"/>
        <v>0</v>
      </c>
      <c r="S39" s="498">
        <f t="shared" si="27"/>
        <v>23102</v>
      </c>
      <c r="T39" s="219">
        <f t="shared" ref="T39:T44" si="28">IFERROR(S39/$S$36,0)</f>
        <v>126.93406593406593</v>
      </c>
    </row>
    <row r="40" spans="1:20" s="198" customFormat="1" ht="16.2" customHeight="1">
      <c r="A40" s="1082"/>
      <c r="B40" s="495" t="s">
        <v>276</v>
      </c>
      <c r="C40" s="498">
        <f t="shared" ref="C40:S40" si="29">C10+C20+C30</f>
        <v>32880</v>
      </c>
      <c r="D40" s="498">
        <f t="shared" si="29"/>
        <v>32824</v>
      </c>
      <c r="E40" s="498">
        <f t="shared" si="29"/>
        <v>31505</v>
      </c>
      <c r="F40" s="498">
        <f t="shared" si="29"/>
        <v>33528</v>
      </c>
      <c r="G40" s="498">
        <f t="shared" si="29"/>
        <v>27536</v>
      </c>
      <c r="H40" s="498">
        <f t="shared" si="29"/>
        <v>27562</v>
      </c>
      <c r="I40" s="498">
        <f t="shared" si="29"/>
        <v>0</v>
      </c>
      <c r="J40" s="498">
        <f t="shared" si="29"/>
        <v>0</v>
      </c>
      <c r="K40" s="498">
        <f t="shared" si="29"/>
        <v>0</v>
      </c>
      <c r="L40" s="498">
        <f t="shared" si="29"/>
        <v>0</v>
      </c>
      <c r="M40" s="498">
        <f t="shared" si="29"/>
        <v>0</v>
      </c>
      <c r="N40" s="498">
        <f t="shared" si="29"/>
        <v>0</v>
      </c>
      <c r="O40" s="498">
        <f t="shared" si="29"/>
        <v>97209</v>
      </c>
      <c r="P40" s="498">
        <f t="shared" si="29"/>
        <v>88626</v>
      </c>
      <c r="Q40" s="498">
        <f t="shared" si="29"/>
        <v>0</v>
      </c>
      <c r="R40" s="498">
        <f t="shared" si="29"/>
        <v>0</v>
      </c>
      <c r="S40" s="498">
        <f t="shared" si="29"/>
        <v>185835</v>
      </c>
      <c r="T40" s="219">
        <f t="shared" si="28"/>
        <v>1021.0714285714286</v>
      </c>
    </row>
    <row r="41" spans="1:20" s="198" customFormat="1" ht="16.2" customHeight="1">
      <c r="A41" s="1082"/>
      <c r="B41" s="495" t="s">
        <v>275</v>
      </c>
      <c r="C41" s="498">
        <f t="shared" ref="C41:S41" si="30">C11+C21+C31</f>
        <v>1875</v>
      </c>
      <c r="D41" s="498">
        <f t="shared" si="30"/>
        <v>1862</v>
      </c>
      <c r="E41" s="498">
        <f t="shared" si="30"/>
        <v>1754</v>
      </c>
      <c r="F41" s="498">
        <f t="shared" si="30"/>
        <v>1873</v>
      </c>
      <c r="G41" s="498">
        <f t="shared" si="30"/>
        <v>1551</v>
      </c>
      <c r="H41" s="498">
        <f t="shared" si="30"/>
        <v>1555</v>
      </c>
      <c r="I41" s="498">
        <f t="shared" si="30"/>
        <v>0</v>
      </c>
      <c r="J41" s="498">
        <f t="shared" si="30"/>
        <v>0</v>
      </c>
      <c r="K41" s="498">
        <f t="shared" si="30"/>
        <v>0</v>
      </c>
      <c r="L41" s="498">
        <f t="shared" si="30"/>
        <v>0</v>
      </c>
      <c r="M41" s="498">
        <f t="shared" si="30"/>
        <v>0</v>
      </c>
      <c r="N41" s="498">
        <f t="shared" si="30"/>
        <v>0</v>
      </c>
      <c r="O41" s="498">
        <f t="shared" si="30"/>
        <v>5491</v>
      </c>
      <c r="P41" s="498">
        <f t="shared" si="30"/>
        <v>4979</v>
      </c>
      <c r="Q41" s="498">
        <f t="shared" si="30"/>
        <v>0</v>
      </c>
      <c r="R41" s="498">
        <f t="shared" si="30"/>
        <v>0</v>
      </c>
      <c r="S41" s="498">
        <f t="shared" si="30"/>
        <v>10470</v>
      </c>
      <c r="T41" s="219">
        <f t="shared" si="28"/>
        <v>57.527472527472526</v>
      </c>
    </row>
    <row r="42" spans="1:20" s="198" customFormat="1" ht="16.2" customHeight="1">
      <c r="A42" s="1082"/>
      <c r="B42" s="202" t="s">
        <v>282</v>
      </c>
      <c r="C42" s="205">
        <f t="shared" ref="C42:S42" si="31">C12+C22+C32</f>
        <v>41916</v>
      </c>
      <c r="D42" s="205">
        <f t="shared" si="31"/>
        <v>41237</v>
      </c>
      <c r="E42" s="205">
        <f t="shared" si="31"/>
        <v>39284</v>
      </c>
      <c r="F42" s="205">
        <f t="shared" si="31"/>
        <v>41746</v>
      </c>
      <c r="G42" s="205">
        <f t="shared" si="31"/>
        <v>35546</v>
      </c>
      <c r="H42" s="205">
        <f t="shared" si="31"/>
        <v>34973</v>
      </c>
      <c r="I42" s="205">
        <f t="shared" si="31"/>
        <v>0</v>
      </c>
      <c r="J42" s="205">
        <f t="shared" si="31"/>
        <v>0</v>
      </c>
      <c r="K42" s="205">
        <f t="shared" si="31"/>
        <v>0</v>
      </c>
      <c r="L42" s="205">
        <f t="shared" si="31"/>
        <v>0</v>
      </c>
      <c r="M42" s="205">
        <f t="shared" si="31"/>
        <v>0</v>
      </c>
      <c r="N42" s="205">
        <f t="shared" si="31"/>
        <v>0</v>
      </c>
      <c r="O42" s="205">
        <f t="shared" si="31"/>
        <v>122437</v>
      </c>
      <c r="P42" s="205">
        <f t="shared" si="31"/>
        <v>112265</v>
      </c>
      <c r="Q42" s="205">
        <f t="shared" si="31"/>
        <v>0</v>
      </c>
      <c r="R42" s="205">
        <f t="shared" si="31"/>
        <v>0</v>
      </c>
      <c r="S42" s="205">
        <f t="shared" si="31"/>
        <v>234702</v>
      </c>
      <c r="T42" s="220">
        <f t="shared" si="28"/>
        <v>1289.5714285714287</v>
      </c>
    </row>
    <row r="43" spans="1:20" s="198" customFormat="1" ht="16.2" customHeight="1">
      <c r="A43" s="1082"/>
      <c r="B43" s="202" t="s">
        <v>283</v>
      </c>
      <c r="C43" s="205">
        <f t="shared" ref="C43:S43" si="32">C13+C23+C33</f>
        <v>2562</v>
      </c>
      <c r="D43" s="205">
        <f t="shared" si="32"/>
        <v>2438</v>
      </c>
      <c r="E43" s="205">
        <f t="shared" si="32"/>
        <v>2299</v>
      </c>
      <c r="F43" s="205">
        <f t="shared" si="32"/>
        <v>2394</v>
      </c>
      <c r="G43" s="205">
        <f t="shared" si="32"/>
        <v>2118</v>
      </c>
      <c r="H43" s="205">
        <f t="shared" si="32"/>
        <v>2084</v>
      </c>
      <c r="I43" s="205">
        <f t="shared" si="32"/>
        <v>0</v>
      </c>
      <c r="J43" s="205">
        <f t="shared" si="32"/>
        <v>0</v>
      </c>
      <c r="K43" s="205">
        <f t="shared" si="32"/>
        <v>0</v>
      </c>
      <c r="L43" s="205">
        <f t="shared" si="32"/>
        <v>0</v>
      </c>
      <c r="M43" s="205">
        <f t="shared" si="32"/>
        <v>0</v>
      </c>
      <c r="N43" s="205">
        <f t="shared" si="32"/>
        <v>0</v>
      </c>
      <c r="O43" s="205">
        <f t="shared" si="32"/>
        <v>7299</v>
      </c>
      <c r="P43" s="205">
        <f t="shared" si="32"/>
        <v>6596</v>
      </c>
      <c r="Q43" s="205">
        <f t="shared" si="32"/>
        <v>0</v>
      </c>
      <c r="R43" s="205">
        <f t="shared" si="32"/>
        <v>0</v>
      </c>
      <c r="S43" s="205">
        <f t="shared" si="32"/>
        <v>13895</v>
      </c>
      <c r="T43" s="220">
        <f t="shared" si="28"/>
        <v>76.34615384615384</v>
      </c>
    </row>
    <row r="44" spans="1:20" s="198" customFormat="1" ht="16.2" customHeight="1">
      <c r="A44" s="1082"/>
      <c r="B44" s="201" t="s">
        <v>241</v>
      </c>
      <c r="C44" s="205">
        <f t="shared" ref="C44:S44" si="33">C14+C24+C34</f>
        <v>37645</v>
      </c>
      <c r="D44" s="205">
        <f t="shared" si="33"/>
        <v>36651</v>
      </c>
      <c r="E44" s="205">
        <f t="shared" si="33"/>
        <v>33674</v>
      </c>
      <c r="F44" s="205">
        <f t="shared" si="33"/>
        <v>38201</v>
      </c>
      <c r="G44" s="205">
        <f t="shared" si="33"/>
        <v>31159</v>
      </c>
      <c r="H44" s="205">
        <f t="shared" si="33"/>
        <v>32086</v>
      </c>
      <c r="I44" s="205">
        <f t="shared" si="33"/>
        <v>0</v>
      </c>
      <c r="J44" s="205">
        <f t="shared" si="33"/>
        <v>0</v>
      </c>
      <c r="K44" s="205">
        <f t="shared" si="33"/>
        <v>0</v>
      </c>
      <c r="L44" s="205">
        <f t="shared" si="33"/>
        <v>0</v>
      </c>
      <c r="M44" s="205">
        <f t="shared" si="33"/>
        <v>0</v>
      </c>
      <c r="N44" s="205">
        <f t="shared" si="33"/>
        <v>0</v>
      </c>
      <c r="O44" s="205">
        <f t="shared" si="33"/>
        <v>107970</v>
      </c>
      <c r="P44" s="205">
        <f t="shared" si="33"/>
        <v>101446</v>
      </c>
      <c r="Q44" s="205">
        <f t="shared" si="33"/>
        <v>0</v>
      </c>
      <c r="R44" s="205">
        <f t="shared" si="33"/>
        <v>0</v>
      </c>
      <c r="S44" s="205">
        <f t="shared" si="33"/>
        <v>209416</v>
      </c>
      <c r="T44" s="220">
        <f t="shared" si="28"/>
        <v>1150.6373626373627</v>
      </c>
    </row>
    <row r="45" spans="1:20" s="198" customFormat="1" ht="5.4" customHeight="1">
      <c r="A45" s="223"/>
      <c r="B45" s="224"/>
      <c r="C45" s="225"/>
      <c r="D45" s="225"/>
      <c r="E45" s="225"/>
      <c r="F45" s="225"/>
      <c r="G45" s="225"/>
      <c r="H45" s="225"/>
      <c r="I45" s="225"/>
      <c r="J45" s="225"/>
      <c r="K45" s="225"/>
      <c r="L45" s="225"/>
      <c r="M45" s="225"/>
      <c r="N45" s="225"/>
      <c r="O45" s="226"/>
      <c r="P45" s="226"/>
      <c r="Q45" s="226"/>
      <c r="R45" s="226"/>
      <c r="S45" s="226"/>
      <c r="T45" s="227"/>
    </row>
    <row r="46" spans="1:20">
      <c r="B46" s="204"/>
    </row>
    <row r="47" spans="1:20" ht="13.8">
      <c r="A47" s="1078" t="s">
        <v>386</v>
      </c>
      <c r="B47" s="1078"/>
      <c r="C47" s="1078"/>
      <c r="D47" s="1078"/>
      <c r="E47" s="1078"/>
      <c r="F47" s="1078"/>
      <c r="G47" s="1078"/>
      <c r="H47" s="1078"/>
      <c r="I47" s="1078"/>
      <c r="J47" s="1078"/>
      <c r="K47" s="1078"/>
      <c r="L47" s="1078"/>
      <c r="M47" s="1078"/>
      <c r="N47" s="1078"/>
      <c r="O47" s="1078"/>
      <c r="P47" s="1078"/>
      <c r="Q47" s="1078"/>
      <c r="R47" s="1078"/>
      <c r="S47" s="1078"/>
      <c r="T47" s="1078"/>
    </row>
  </sheetData>
  <mergeCells count="6">
    <mergeCell ref="A47:T47"/>
    <mergeCell ref="A5:B5"/>
    <mergeCell ref="A6:A14"/>
    <mergeCell ref="A16:A24"/>
    <mergeCell ref="A26:A34"/>
    <mergeCell ref="A36:A44"/>
  </mergeCells>
  <dataValidations count="3">
    <dataValidation type="whole" allowBlank="1" showInputMessage="1" showErrorMessage="1" errorTitle="Invalid Data" error="Enter only Monday-Friday operating days for the month" sqref="C16:N1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6:N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WVK983042:WVV983042 IY6:JJ6 SU6:TF6 ACQ6:ADB6 AMM6:AMX6 AWI6:AWT6 BGE6:BGP6 BQA6:BQL6 BZW6:CAH6 CJS6:CKD6 CTO6:CTZ6 DDK6:DDV6 DNG6:DNR6 DXC6:DXN6 EGY6:EHJ6 EQU6:ERF6 FAQ6:FBB6 FKM6:FKX6 FUI6:FUT6 GEE6:GEP6 GOA6:GOL6 GXW6:GYH6 HHS6:HID6 HRO6:HRZ6 IBK6:IBV6 ILG6:ILR6 IVC6:IVN6 JEY6:JFJ6 JOU6:JPF6 JYQ6:JZB6 KIM6:KIX6 KSI6:KST6 LCE6:LCP6 LMA6:LML6 LVW6:LWH6 MFS6:MGD6 MPO6:MPZ6 MZK6:MZV6 NJG6:NJR6 NTC6:NTN6 OCY6:ODJ6 OMU6:ONF6 OWQ6:OXB6 PGM6:PGX6 PQI6:PQT6 QAE6:QAP6 QKA6:QKL6 QTW6:QUH6 RDS6:RED6 RNO6:RNZ6 RXK6:RXV6 SHG6:SHR6 SRC6:SRN6 TAY6:TBJ6 TKU6:TLF6 TUQ6:TVB6 UEM6:UEX6 UOI6:UOT6 UYE6:UYP6 VIA6:VIL6 VRW6:VSH6 WBS6:WCD6 WLO6:WLZ6 WVK6:WVV6 C65521:N65521 IY65521:JJ65521 SU65521:TF65521 ACQ65521:ADB65521 AMM65521:AMX65521 AWI65521:AWT65521 BGE65521:BGP65521 BQA65521:BQL65521 BZW65521:CAH65521 CJS65521:CKD65521 CTO65521:CTZ65521 DDK65521:DDV65521 DNG65521:DNR65521 DXC65521:DXN65521 EGY65521:EHJ65521 EQU65521:ERF65521 FAQ65521:FBB65521 FKM65521:FKX65521 FUI65521:FUT65521 GEE65521:GEP65521 GOA65521:GOL65521 GXW65521:GYH65521 HHS65521:HID65521 HRO65521:HRZ65521 IBK65521:IBV65521 ILG65521:ILR65521 IVC65521:IVN65521 JEY65521:JFJ65521 JOU65521:JPF65521 JYQ65521:JZB65521 KIM65521:KIX65521 KSI65521:KST65521 LCE65521:LCP65521 LMA65521:LML65521 LVW65521:LWH65521 MFS65521:MGD65521 MPO65521:MPZ65521 MZK65521:MZV65521 NJG65521:NJR65521 NTC65521:NTN65521 OCY65521:ODJ65521 OMU65521:ONF65521 OWQ65521:OXB65521 PGM65521:PGX65521 PQI65521:PQT65521 QAE65521:QAP65521 QKA65521:QKL65521 QTW65521:QUH65521 RDS65521:RED65521 RNO65521:RNZ65521 RXK65521:RXV65521 SHG65521:SHR65521 SRC65521:SRN65521 TAY65521:TBJ65521 TKU65521:TLF65521 TUQ65521:TVB65521 UEM65521:UEX65521 UOI65521:UOT65521 UYE65521:UYP65521 VIA65521:VIL65521 VRW65521:VSH65521 WBS65521:WCD65521 WLO65521:WLZ65521 WVK65521:WVV65521 C131057:N131057 IY131057:JJ131057 SU131057:TF131057 ACQ131057:ADB131057 AMM131057:AMX131057 AWI131057:AWT131057 BGE131057:BGP131057 BQA131057:BQL131057 BZW131057:CAH131057 CJS131057:CKD131057 CTO131057:CTZ131057 DDK131057:DDV131057 DNG131057:DNR131057 DXC131057:DXN131057 EGY131057:EHJ131057 EQU131057:ERF131057 FAQ131057:FBB131057 FKM131057:FKX131057 FUI131057:FUT131057 GEE131057:GEP131057 GOA131057:GOL131057 GXW131057:GYH131057 HHS131057:HID131057 HRO131057:HRZ131057 IBK131057:IBV131057 ILG131057:ILR131057 IVC131057:IVN131057 JEY131057:JFJ131057 JOU131057:JPF131057 JYQ131057:JZB131057 KIM131057:KIX131057 KSI131057:KST131057 LCE131057:LCP131057 LMA131057:LML131057 LVW131057:LWH131057 MFS131057:MGD131057 MPO131057:MPZ131057 MZK131057:MZV131057 NJG131057:NJR131057 NTC131057:NTN131057 OCY131057:ODJ131057 OMU131057:ONF131057 OWQ131057:OXB131057 PGM131057:PGX131057 PQI131057:PQT131057 QAE131057:QAP131057 QKA131057:QKL131057 QTW131057:QUH131057 RDS131057:RED131057 RNO131057:RNZ131057 RXK131057:RXV131057 SHG131057:SHR131057 SRC131057:SRN131057 TAY131057:TBJ131057 TKU131057:TLF131057 TUQ131057:TVB131057 UEM131057:UEX131057 UOI131057:UOT131057 UYE131057:UYP131057 VIA131057:VIL131057 VRW131057:VSH131057 WBS131057:WCD131057 WLO131057:WLZ131057 WVK131057:WVV131057 C196593:N196593 IY196593:JJ196593 SU196593:TF196593 ACQ196593:ADB196593 AMM196593:AMX196593 AWI196593:AWT196593 BGE196593:BGP196593 BQA196593:BQL196593 BZW196593:CAH196593 CJS196593:CKD196593 CTO196593:CTZ196593 DDK196593:DDV196593 DNG196593:DNR196593 DXC196593:DXN196593 EGY196593:EHJ196593 EQU196593:ERF196593 FAQ196593:FBB196593 FKM196593:FKX196593 FUI196593:FUT196593 GEE196593:GEP196593 GOA196593:GOL196593 GXW196593:GYH196593 HHS196593:HID196593 HRO196593:HRZ196593 IBK196593:IBV196593 ILG196593:ILR196593 IVC196593:IVN196593 JEY196593:JFJ196593 JOU196593:JPF196593 JYQ196593:JZB196593 KIM196593:KIX196593 KSI196593:KST196593 LCE196593:LCP196593 LMA196593:LML196593 LVW196593:LWH196593 MFS196593:MGD196593 MPO196593:MPZ196593 MZK196593:MZV196593 NJG196593:NJR196593 NTC196593:NTN196593 OCY196593:ODJ196593 OMU196593:ONF196593 OWQ196593:OXB196593 PGM196593:PGX196593 PQI196593:PQT196593 QAE196593:QAP196593 QKA196593:QKL196593 QTW196593:QUH196593 RDS196593:RED196593 RNO196593:RNZ196593 RXK196593:RXV196593 SHG196593:SHR196593 SRC196593:SRN196593 TAY196593:TBJ196593 TKU196593:TLF196593 TUQ196593:TVB196593 UEM196593:UEX196593 UOI196593:UOT196593 UYE196593:UYP196593 VIA196593:VIL196593 VRW196593:VSH196593 WBS196593:WCD196593 WLO196593:WLZ196593 WVK196593:WVV196593 C262129:N262129 IY262129:JJ262129 SU262129:TF262129 ACQ262129:ADB262129 AMM262129:AMX262129 AWI262129:AWT262129 BGE262129:BGP262129 BQA262129:BQL262129 BZW262129:CAH262129 CJS262129:CKD262129 CTO262129:CTZ262129 DDK262129:DDV262129 DNG262129:DNR262129 DXC262129:DXN262129 EGY262129:EHJ262129 EQU262129:ERF262129 FAQ262129:FBB262129 FKM262129:FKX262129 FUI262129:FUT262129 GEE262129:GEP262129 GOA262129:GOL262129 GXW262129:GYH262129 HHS262129:HID262129 HRO262129:HRZ262129 IBK262129:IBV262129 ILG262129:ILR262129 IVC262129:IVN262129 JEY262129:JFJ262129 JOU262129:JPF262129 JYQ262129:JZB262129 KIM262129:KIX262129 KSI262129:KST262129 LCE262129:LCP262129 LMA262129:LML262129 LVW262129:LWH262129 MFS262129:MGD262129 MPO262129:MPZ262129 MZK262129:MZV262129 NJG262129:NJR262129 NTC262129:NTN262129 OCY262129:ODJ262129 OMU262129:ONF262129 OWQ262129:OXB262129 PGM262129:PGX262129 PQI262129:PQT262129 QAE262129:QAP262129 QKA262129:QKL262129 QTW262129:QUH262129 RDS262129:RED262129 RNO262129:RNZ262129 RXK262129:RXV262129 SHG262129:SHR262129 SRC262129:SRN262129 TAY262129:TBJ262129 TKU262129:TLF262129 TUQ262129:TVB262129 UEM262129:UEX262129 UOI262129:UOT262129 UYE262129:UYP262129 VIA262129:VIL262129 VRW262129:VSH262129 WBS262129:WCD262129 WLO262129:WLZ262129 WVK262129:WVV262129 C327665:N327665 IY327665:JJ327665 SU327665:TF327665 ACQ327665:ADB327665 AMM327665:AMX327665 AWI327665:AWT327665 BGE327665:BGP327665 BQA327665:BQL327665 BZW327665:CAH327665 CJS327665:CKD327665 CTO327665:CTZ327665 DDK327665:DDV327665 DNG327665:DNR327665 DXC327665:DXN327665 EGY327665:EHJ327665 EQU327665:ERF327665 FAQ327665:FBB327665 FKM327665:FKX327665 FUI327665:FUT327665 GEE327665:GEP327665 GOA327665:GOL327665 GXW327665:GYH327665 HHS327665:HID327665 HRO327665:HRZ327665 IBK327665:IBV327665 ILG327665:ILR327665 IVC327665:IVN327665 JEY327665:JFJ327665 JOU327665:JPF327665 JYQ327665:JZB327665 KIM327665:KIX327665 KSI327665:KST327665 LCE327665:LCP327665 LMA327665:LML327665 LVW327665:LWH327665 MFS327665:MGD327665 MPO327665:MPZ327665 MZK327665:MZV327665 NJG327665:NJR327665 NTC327665:NTN327665 OCY327665:ODJ327665 OMU327665:ONF327665 OWQ327665:OXB327665 PGM327665:PGX327665 PQI327665:PQT327665 QAE327665:QAP327665 QKA327665:QKL327665 QTW327665:QUH327665 RDS327665:RED327665 RNO327665:RNZ327665 RXK327665:RXV327665 SHG327665:SHR327665 SRC327665:SRN327665 TAY327665:TBJ327665 TKU327665:TLF327665 TUQ327665:TVB327665 UEM327665:UEX327665 UOI327665:UOT327665 UYE327665:UYP327665 VIA327665:VIL327665 VRW327665:VSH327665 WBS327665:WCD327665 WLO327665:WLZ327665 WVK327665:WVV327665 C393201:N393201 IY393201:JJ393201 SU393201:TF393201 ACQ393201:ADB393201 AMM393201:AMX393201 AWI393201:AWT393201 BGE393201:BGP393201 BQA393201:BQL393201 BZW393201:CAH393201 CJS393201:CKD393201 CTO393201:CTZ393201 DDK393201:DDV393201 DNG393201:DNR393201 DXC393201:DXN393201 EGY393201:EHJ393201 EQU393201:ERF393201 FAQ393201:FBB393201 FKM393201:FKX393201 FUI393201:FUT393201 GEE393201:GEP393201 GOA393201:GOL393201 GXW393201:GYH393201 HHS393201:HID393201 HRO393201:HRZ393201 IBK393201:IBV393201 ILG393201:ILR393201 IVC393201:IVN393201 JEY393201:JFJ393201 JOU393201:JPF393201 JYQ393201:JZB393201 KIM393201:KIX393201 KSI393201:KST393201 LCE393201:LCP393201 LMA393201:LML393201 LVW393201:LWH393201 MFS393201:MGD393201 MPO393201:MPZ393201 MZK393201:MZV393201 NJG393201:NJR393201 NTC393201:NTN393201 OCY393201:ODJ393201 OMU393201:ONF393201 OWQ393201:OXB393201 PGM393201:PGX393201 PQI393201:PQT393201 QAE393201:QAP393201 QKA393201:QKL393201 QTW393201:QUH393201 RDS393201:RED393201 RNO393201:RNZ393201 RXK393201:RXV393201 SHG393201:SHR393201 SRC393201:SRN393201 TAY393201:TBJ393201 TKU393201:TLF393201 TUQ393201:TVB393201 UEM393201:UEX393201 UOI393201:UOT393201 UYE393201:UYP393201 VIA393201:VIL393201 VRW393201:VSH393201 WBS393201:WCD393201 WLO393201:WLZ393201 WVK393201:WVV393201 C458737:N458737 IY458737:JJ458737 SU458737:TF458737 ACQ458737:ADB458737 AMM458737:AMX458737 AWI458737:AWT458737 BGE458737:BGP458737 BQA458737:BQL458737 BZW458737:CAH458737 CJS458737:CKD458737 CTO458737:CTZ458737 DDK458737:DDV458737 DNG458737:DNR458737 DXC458737:DXN458737 EGY458737:EHJ458737 EQU458737:ERF458737 FAQ458737:FBB458737 FKM458737:FKX458737 FUI458737:FUT458737 GEE458737:GEP458737 GOA458737:GOL458737 GXW458737:GYH458737 HHS458737:HID458737 HRO458737:HRZ458737 IBK458737:IBV458737 ILG458737:ILR458737 IVC458737:IVN458737 JEY458737:JFJ458737 JOU458737:JPF458737 JYQ458737:JZB458737 KIM458737:KIX458737 KSI458737:KST458737 LCE458737:LCP458737 LMA458737:LML458737 LVW458737:LWH458737 MFS458737:MGD458737 MPO458737:MPZ458737 MZK458737:MZV458737 NJG458737:NJR458737 NTC458737:NTN458737 OCY458737:ODJ458737 OMU458737:ONF458737 OWQ458737:OXB458737 PGM458737:PGX458737 PQI458737:PQT458737 QAE458737:QAP458737 QKA458737:QKL458737 QTW458737:QUH458737 RDS458737:RED458737 RNO458737:RNZ458737 RXK458737:RXV458737 SHG458737:SHR458737 SRC458737:SRN458737 TAY458737:TBJ458737 TKU458737:TLF458737 TUQ458737:TVB458737 UEM458737:UEX458737 UOI458737:UOT458737 UYE458737:UYP458737 VIA458737:VIL458737 VRW458737:VSH458737 WBS458737:WCD458737 WLO458737:WLZ458737 WVK458737:WVV458737 C524273:N524273 IY524273:JJ524273 SU524273:TF524273 ACQ524273:ADB524273 AMM524273:AMX524273 AWI524273:AWT524273 BGE524273:BGP524273 BQA524273:BQL524273 BZW524273:CAH524273 CJS524273:CKD524273 CTO524273:CTZ524273 DDK524273:DDV524273 DNG524273:DNR524273 DXC524273:DXN524273 EGY524273:EHJ524273 EQU524273:ERF524273 FAQ524273:FBB524273 FKM524273:FKX524273 FUI524273:FUT524273 GEE524273:GEP524273 GOA524273:GOL524273 GXW524273:GYH524273 HHS524273:HID524273 HRO524273:HRZ524273 IBK524273:IBV524273 ILG524273:ILR524273 IVC524273:IVN524273 JEY524273:JFJ524273 JOU524273:JPF524273 JYQ524273:JZB524273 KIM524273:KIX524273 KSI524273:KST524273 LCE524273:LCP524273 LMA524273:LML524273 LVW524273:LWH524273 MFS524273:MGD524273 MPO524273:MPZ524273 MZK524273:MZV524273 NJG524273:NJR524273 NTC524273:NTN524273 OCY524273:ODJ524273 OMU524273:ONF524273 OWQ524273:OXB524273 PGM524273:PGX524273 PQI524273:PQT524273 QAE524273:QAP524273 QKA524273:QKL524273 QTW524273:QUH524273 RDS524273:RED524273 RNO524273:RNZ524273 RXK524273:RXV524273 SHG524273:SHR524273 SRC524273:SRN524273 TAY524273:TBJ524273 TKU524273:TLF524273 TUQ524273:TVB524273 UEM524273:UEX524273 UOI524273:UOT524273 UYE524273:UYP524273 VIA524273:VIL524273 VRW524273:VSH524273 WBS524273:WCD524273 WLO524273:WLZ524273 WVK524273:WVV524273 C589809:N589809 IY589809:JJ589809 SU589809:TF589809 ACQ589809:ADB589809 AMM589809:AMX589809 AWI589809:AWT589809 BGE589809:BGP589809 BQA589809:BQL589809 BZW589809:CAH589809 CJS589809:CKD589809 CTO589809:CTZ589809 DDK589809:DDV589809 DNG589809:DNR589809 DXC589809:DXN589809 EGY589809:EHJ589809 EQU589809:ERF589809 FAQ589809:FBB589809 FKM589809:FKX589809 FUI589809:FUT589809 GEE589809:GEP589809 GOA589809:GOL589809 GXW589809:GYH589809 HHS589809:HID589809 HRO589809:HRZ589809 IBK589809:IBV589809 ILG589809:ILR589809 IVC589809:IVN589809 JEY589809:JFJ589809 JOU589809:JPF589809 JYQ589809:JZB589809 KIM589809:KIX589809 KSI589809:KST589809 LCE589809:LCP589809 LMA589809:LML589809 LVW589809:LWH589809 MFS589809:MGD589809 MPO589809:MPZ589809 MZK589809:MZV589809 NJG589809:NJR589809 NTC589809:NTN589809 OCY589809:ODJ589809 OMU589809:ONF589809 OWQ589809:OXB589809 PGM589809:PGX589809 PQI589809:PQT589809 QAE589809:QAP589809 QKA589809:QKL589809 QTW589809:QUH589809 RDS589809:RED589809 RNO589809:RNZ589809 RXK589809:RXV589809 SHG589809:SHR589809 SRC589809:SRN589809 TAY589809:TBJ589809 TKU589809:TLF589809 TUQ589809:TVB589809 UEM589809:UEX589809 UOI589809:UOT589809 UYE589809:UYP589809 VIA589809:VIL589809 VRW589809:VSH589809 WBS589809:WCD589809 WLO589809:WLZ589809 WVK589809:WVV589809 C655345:N655345 IY655345:JJ655345 SU655345:TF655345 ACQ655345:ADB655345 AMM655345:AMX655345 AWI655345:AWT655345 BGE655345:BGP655345 BQA655345:BQL655345 BZW655345:CAH655345 CJS655345:CKD655345 CTO655345:CTZ655345 DDK655345:DDV655345 DNG655345:DNR655345 DXC655345:DXN655345 EGY655345:EHJ655345 EQU655345:ERF655345 FAQ655345:FBB655345 FKM655345:FKX655345 FUI655345:FUT655345 GEE655345:GEP655345 GOA655345:GOL655345 GXW655345:GYH655345 HHS655345:HID655345 HRO655345:HRZ655345 IBK655345:IBV655345 ILG655345:ILR655345 IVC655345:IVN655345 JEY655345:JFJ655345 JOU655345:JPF655345 JYQ655345:JZB655345 KIM655345:KIX655345 KSI655345:KST655345 LCE655345:LCP655345 LMA655345:LML655345 LVW655345:LWH655345 MFS655345:MGD655345 MPO655345:MPZ655345 MZK655345:MZV655345 NJG655345:NJR655345 NTC655345:NTN655345 OCY655345:ODJ655345 OMU655345:ONF655345 OWQ655345:OXB655345 PGM655345:PGX655345 PQI655345:PQT655345 QAE655345:QAP655345 QKA655345:QKL655345 QTW655345:QUH655345 RDS655345:RED655345 RNO655345:RNZ655345 RXK655345:RXV655345 SHG655345:SHR655345 SRC655345:SRN655345 TAY655345:TBJ655345 TKU655345:TLF655345 TUQ655345:TVB655345 UEM655345:UEX655345 UOI655345:UOT655345 UYE655345:UYP655345 VIA655345:VIL655345 VRW655345:VSH655345 WBS655345:WCD655345 WLO655345:WLZ655345 WVK655345:WVV655345 C720881:N720881 IY720881:JJ720881 SU720881:TF720881 ACQ720881:ADB720881 AMM720881:AMX720881 AWI720881:AWT720881 BGE720881:BGP720881 BQA720881:BQL720881 BZW720881:CAH720881 CJS720881:CKD720881 CTO720881:CTZ720881 DDK720881:DDV720881 DNG720881:DNR720881 DXC720881:DXN720881 EGY720881:EHJ720881 EQU720881:ERF720881 FAQ720881:FBB720881 FKM720881:FKX720881 FUI720881:FUT720881 GEE720881:GEP720881 GOA720881:GOL720881 GXW720881:GYH720881 HHS720881:HID720881 HRO720881:HRZ720881 IBK720881:IBV720881 ILG720881:ILR720881 IVC720881:IVN720881 JEY720881:JFJ720881 JOU720881:JPF720881 JYQ720881:JZB720881 KIM720881:KIX720881 KSI720881:KST720881 LCE720881:LCP720881 LMA720881:LML720881 LVW720881:LWH720881 MFS720881:MGD720881 MPO720881:MPZ720881 MZK720881:MZV720881 NJG720881:NJR720881 NTC720881:NTN720881 OCY720881:ODJ720881 OMU720881:ONF720881 OWQ720881:OXB720881 PGM720881:PGX720881 PQI720881:PQT720881 QAE720881:QAP720881 QKA720881:QKL720881 QTW720881:QUH720881 RDS720881:RED720881 RNO720881:RNZ720881 RXK720881:RXV720881 SHG720881:SHR720881 SRC720881:SRN720881 TAY720881:TBJ720881 TKU720881:TLF720881 TUQ720881:TVB720881 UEM720881:UEX720881 UOI720881:UOT720881 UYE720881:UYP720881 VIA720881:VIL720881 VRW720881:VSH720881 WBS720881:WCD720881 WLO720881:WLZ720881 WVK720881:WVV720881 C786417:N786417 IY786417:JJ786417 SU786417:TF786417 ACQ786417:ADB786417 AMM786417:AMX786417 AWI786417:AWT786417 BGE786417:BGP786417 BQA786417:BQL786417 BZW786417:CAH786417 CJS786417:CKD786417 CTO786417:CTZ786417 DDK786417:DDV786417 DNG786417:DNR786417 DXC786417:DXN786417 EGY786417:EHJ786417 EQU786417:ERF786417 FAQ786417:FBB786417 FKM786417:FKX786417 FUI786417:FUT786417 GEE786417:GEP786417 GOA786417:GOL786417 GXW786417:GYH786417 HHS786417:HID786417 HRO786417:HRZ786417 IBK786417:IBV786417 ILG786417:ILR786417 IVC786417:IVN786417 JEY786417:JFJ786417 JOU786417:JPF786417 JYQ786417:JZB786417 KIM786417:KIX786417 KSI786417:KST786417 LCE786417:LCP786417 LMA786417:LML786417 LVW786417:LWH786417 MFS786417:MGD786417 MPO786417:MPZ786417 MZK786417:MZV786417 NJG786417:NJR786417 NTC786417:NTN786417 OCY786417:ODJ786417 OMU786417:ONF786417 OWQ786417:OXB786417 PGM786417:PGX786417 PQI786417:PQT786417 QAE786417:QAP786417 QKA786417:QKL786417 QTW786417:QUH786417 RDS786417:RED786417 RNO786417:RNZ786417 RXK786417:RXV786417 SHG786417:SHR786417 SRC786417:SRN786417 TAY786417:TBJ786417 TKU786417:TLF786417 TUQ786417:TVB786417 UEM786417:UEX786417 UOI786417:UOT786417 UYE786417:UYP786417 VIA786417:VIL786417 VRW786417:VSH786417 WBS786417:WCD786417 WLO786417:WLZ786417 WVK786417:WVV786417 C851953:N851953 IY851953:JJ851953 SU851953:TF851953 ACQ851953:ADB851953 AMM851953:AMX851953 AWI851953:AWT851953 BGE851953:BGP851953 BQA851953:BQL851953 BZW851953:CAH851953 CJS851953:CKD851953 CTO851953:CTZ851953 DDK851953:DDV851953 DNG851953:DNR851953 DXC851953:DXN851953 EGY851953:EHJ851953 EQU851953:ERF851953 FAQ851953:FBB851953 FKM851953:FKX851953 FUI851953:FUT851953 GEE851953:GEP851953 GOA851953:GOL851953 GXW851953:GYH851953 HHS851953:HID851953 HRO851953:HRZ851953 IBK851953:IBV851953 ILG851953:ILR851953 IVC851953:IVN851953 JEY851953:JFJ851953 JOU851953:JPF851953 JYQ851953:JZB851953 KIM851953:KIX851953 KSI851953:KST851953 LCE851953:LCP851953 LMA851953:LML851953 LVW851953:LWH851953 MFS851953:MGD851953 MPO851953:MPZ851953 MZK851953:MZV851953 NJG851953:NJR851953 NTC851953:NTN851953 OCY851953:ODJ851953 OMU851953:ONF851953 OWQ851953:OXB851953 PGM851953:PGX851953 PQI851953:PQT851953 QAE851953:QAP851953 QKA851953:QKL851953 QTW851953:QUH851953 RDS851953:RED851953 RNO851953:RNZ851953 RXK851953:RXV851953 SHG851953:SHR851953 SRC851953:SRN851953 TAY851953:TBJ851953 TKU851953:TLF851953 TUQ851953:TVB851953 UEM851953:UEX851953 UOI851953:UOT851953 UYE851953:UYP851953 VIA851953:VIL851953 VRW851953:VSH851953 WBS851953:WCD851953 WLO851953:WLZ851953 WVK851953:WVV851953 C917489:N917489 IY917489:JJ917489 SU917489:TF917489 ACQ917489:ADB917489 AMM917489:AMX917489 AWI917489:AWT917489 BGE917489:BGP917489 BQA917489:BQL917489 BZW917489:CAH917489 CJS917489:CKD917489 CTO917489:CTZ917489 DDK917489:DDV917489 DNG917489:DNR917489 DXC917489:DXN917489 EGY917489:EHJ917489 EQU917489:ERF917489 FAQ917489:FBB917489 FKM917489:FKX917489 FUI917489:FUT917489 GEE917489:GEP917489 GOA917489:GOL917489 GXW917489:GYH917489 HHS917489:HID917489 HRO917489:HRZ917489 IBK917489:IBV917489 ILG917489:ILR917489 IVC917489:IVN917489 JEY917489:JFJ917489 JOU917489:JPF917489 JYQ917489:JZB917489 KIM917489:KIX917489 KSI917489:KST917489 LCE917489:LCP917489 LMA917489:LML917489 LVW917489:LWH917489 MFS917489:MGD917489 MPO917489:MPZ917489 MZK917489:MZV917489 NJG917489:NJR917489 NTC917489:NTN917489 OCY917489:ODJ917489 OMU917489:ONF917489 OWQ917489:OXB917489 PGM917489:PGX917489 PQI917489:PQT917489 QAE917489:QAP917489 QKA917489:QKL917489 QTW917489:QUH917489 RDS917489:RED917489 RNO917489:RNZ917489 RXK917489:RXV917489 SHG917489:SHR917489 SRC917489:SRN917489 TAY917489:TBJ917489 TKU917489:TLF917489 TUQ917489:TVB917489 UEM917489:UEX917489 UOI917489:UOT917489 UYE917489:UYP917489 VIA917489:VIL917489 VRW917489:VSH917489 WBS917489:WCD917489 WLO917489:WLZ917489 WVK917489:WVV917489 C983025:N983025 IY983025:JJ983025 SU983025:TF983025 ACQ983025:ADB983025 AMM983025:AMX983025 AWI983025:AWT983025 BGE983025:BGP983025 BQA983025:BQL983025 BZW983025:CAH983025 CJS983025:CKD983025 CTO983025:CTZ983025 DDK983025:DDV983025 DNG983025:DNR983025 DXC983025:DXN983025 EGY983025:EHJ983025 EQU983025:ERF983025 FAQ983025:FBB983025 FKM983025:FKX983025 FUI983025:FUT983025 GEE983025:GEP983025 GOA983025:GOL983025 GXW983025:GYH983025 HHS983025:HID983025 HRO983025:HRZ983025 IBK983025:IBV983025 ILG983025:ILR983025 IVC983025:IVN983025 JEY983025:JFJ983025 JOU983025:JPF983025 JYQ983025:JZB983025 KIM983025:KIX983025 KSI983025:KST983025 LCE983025:LCP983025 LMA983025:LML983025 LVW983025:LWH983025 MFS983025:MGD983025 MPO983025:MPZ983025 MZK983025:MZV983025 NJG983025:NJR983025 NTC983025:NTN983025 OCY983025:ODJ983025 OMU983025:ONF983025 OWQ983025:OXB983025 PGM983025:PGX983025 PQI983025:PQT983025 QAE983025:QAP983025 QKA983025:QKL983025 QTW983025:QUH983025 RDS983025:RED983025 RNO983025:RNZ983025 RXK983025:RXV983025 SHG983025:SHR983025 SRC983025:SRN983025 TAY983025:TBJ983025 TKU983025:TLF983025 TUQ983025:TVB983025 UEM983025:UEX983025 UOI983025:UOT983025 UYE983025:UYP983025 VIA983025:VIL983025 VRW983025:VSH983025 WBS983025:WCD983025 WLO983025:WLZ983025 WVK983025:WVV983025 C6:N6 IY16:JJ16 SU16:TF16 ACQ16:ADB16 AMM16:AMX16 AWI16:AWT16 BGE16:BGP16 BQA16:BQL16 BZW16:CAH16 CJS16:CKD16 CTO16:CTZ16 DDK16:DDV16 DNG16:DNR16 DXC16:DXN16 EGY16:EHJ16 EQU16:ERF16 FAQ16:FBB16 FKM16:FKX16 FUI16:FUT16 GEE16:GEP16 GOA16:GOL16 GXW16:GYH16 HHS16:HID16 HRO16:HRZ16 IBK16:IBV16 ILG16:ILR16 IVC16:IVN16 JEY16:JFJ16 JOU16:JPF16 JYQ16:JZB16 KIM16:KIX16 KSI16:KST16 LCE16:LCP16 LMA16:LML16 LVW16:LWH16 MFS16:MGD16 MPO16:MPZ16 MZK16:MZV16 NJG16:NJR16 NTC16:NTN16 OCY16:ODJ16 OMU16:ONF16 OWQ16:OXB16 PGM16:PGX16 PQI16:PQT16 QAE16:QAP16 QKA16:QKL16 QTW16:QUH16 RDS16:RED16 RNO16:RNZ16 RXK16:RXV16 SHG16:SHR16 SRC16:SRN16 TAY16:TBJ16 TKU16:TLF16 TUQ16:TVB16 UEM16:UEX16 UOI16:UOT16 UYE16:UYP16 VIA16:VIL16 VRW16:VSH16 WBS16:WCD16 WLO16:WLZ16 WVK16:WVV16 C65538:N65538 IY65538:JJ65538 SU65538:TF65538 ACQ65538:ADB65538 AMM65538:AMX65538 AWI65538:AWT65538 BGE65538:BGP65538 BQA65538:BQL65538 BZW65538:CAH65538 CJS65538:CKD65538 CTO65538:CTZ65538 DDK65538:DDV65538 DNG65538:DNR65538 DXC65538:DXN65538 EGY65538:EHJ65538 EQU65538:ERF65538 FAQ65538:FBB65538 FKM65538:FKX65538 FUI65538:FUT65538 GEE65538:GEP65538 GOA65538:GOL65538 GXW65538:GYH65538 HHS65538:HID65538 HRO65538:HRZ65538 IBK65538:IBV65538 ILG65538:ILR65538 IVC65538:IVN65538 JEY65538:JFJ65538 JOU65538:JPF65538 JYQ65538:JZB65538 KIM65538:KIX65538 KSI65538:KST65538 LCE65538:LCP65538 LMA65538:LML65538 LVW65538:LWH65538 MFS65538:MGD65538 MPO65538:MPZ65538 MZK65538:MZV65538 NJG65538:NJR65538 NTC65538:NTN65538 OCY65538:ODJ65538 OMU65538:ONF65538 OWQ65538:OXB65538 PGM65538:PGX65538 PQI65538:PQT65538 QAE65538:QAP65538 QKA65538:QKL65538 QTW65538:QUH65538 RDS65538:RED65538 RNO65538:RNZ65538 RXK65538:RXV65538 SHG65538:SHR65538 SRC65538:SRN65538 TAY65538:TBJ65538 TKU65538:TLF65538 TUQ65538:TVB65538 UEM65538:UEX65538 UOI65538:UOT65538 UYE65538:UYP65538 VIA65538:VIL65538 VRW65538:VSH65538 WBS65538:WCD65538 WLO65538:WLZ65538 WVK65538:WVV65538 C131074:N131074 IY131074:JJ131074 SU131074:TF131074 ACQ131074:ADB131074 AMM131074:AMX131074 AWI131074:AWT131074 BGE131074:BGP131074 BQA131074:BQL131074 BZW131074:CAH131074 CJS131074:CKD131074 CTO131074:CTZ131074 DDK131074:DDV131074 DNG131074:DNR131074 DXC131074:DXN131074 EGY131074:EHJ131074 EQU131074:ERF131074 FAQ131074:FBB131074 FKM131074:FKX131074 FUI131074:FUT131074 GEE131074:GEP131074 GOA131074:GOL131074 GXW131074:GYH131074 HHS131074:HID131074 HRO131074:HRZ131074 IBK131074:IBV131074 ILG131074:ILR131074 IVC131074:IVN131074 JEY131074:JFJ131074 JOU131074:JPF131074 JYQ131074:JZB131074 KIM131074:KIX131074 KSI131074:KST131074 LCE131074:LCP131074 LMA131074:LML131074 LVW131074:LWH131074 MFS131074:MGD131074 MPO131074:MPZ131074 MZK131074:MZV131074 NJG131074:NJR131074 NTC131074:NTN131074 OCY131074:ODJ131074 OMU131074:ONF131074 OWQ131074:OXB131074 PGM131074:PGX131074 PQI131074:PQT131074 QAE131074:QAP131074 QKA131074:QKL131074 QTW131074:QUH131074 RDS131074:RED131074 RNO131074:RNZ131074 RXK131074:RXV131074 SHG131074:SHR131074 SRC131074:SRN131074 TAY131074:TBJ131074 TKU131074:TLF131074 TUQ131074:TVB131074 UEM131074:UEX131074 UOI131074:UOT131074 UYE131074:UYP131074 VIA131074:VIL131074 VRW131074:VSH131074 WBS131074:WCD131074 WLO131074:WLZ131074 WVK131074:WVV131074 C196610:N196610 IY196610:JJ196610 SU196610:TF196610 ACQ196610:ADB196610 AMM196610:AMX196610 AWI196610:AWT196610 BGE196610:BGP196610 BQA196610:BQL196610 BZW196610:CAH196610 CJS196610:CKD196610 CTO196610:CTZ196610 DDK196610:DDV196610 DNG196610:DNR196610 DXC196610:DXN196610 EGY196610:EHJ196610 EQU196610:ERF196610 FAQ196610:FBB196610 FKM196610:FKX196610 FUI196610:FUT196610 GEE196610:GEP196610 GOA196610:GOL196610 GXW196610:GYH196610 HHS196610:HID196610 HRO196610:HRZ196610 IBK196610:IBV196610 ILG196610:ILR196610 IVC196610:IVN196610 JEY196610:JFJ196610 JOU196610:JPF196610 JYQ196610:JZB196610 KIM196610:KIX196610 KSI196610:KST196610 LCE196610:LCP196610 LMA196610:LML196610 LVW196610:LWH196610 MFS196610:MGD196610 MPO196610:MPZ196610 MZK196610:MZV196610 NJG196610:NJR196610 NTC196610:NTN196610 OCY196610:ODJ196610 OMU196610:ONF196610 OWQ196610:OXB196610 PGM196610:PGX196610 PQI196610:PQT196610 QAE196610:QAP196610 QKA196610:QKL196610 QTW196610:QUH196610 RDS196610:RED196610 RNO196610:RNZ196610 RXK196610:RXV196610 SHG196610:SHR196610 SRC196610:SRN196610 TAY196610:TBJ196610 TKU196610:TLF196610 TUQ196610:TVB196610 UEM196610:UEX196610 UOI196610:UOT196610 UYE196610:UYP196610 VIA196610:VIL196610 VRW196610:VSH196610 WBS196610:WCD196610 WLO196610:WLZ196610 WVK196610:WVV196610 C262146:N262146 IY262146:JJ262146 SU262146:TF262146 ACQ262146:ADB262146 AMM262146:AMX262146 AWI262146:AWT262146 BGE262146:BGP262146 BQA262146:BQL262146 BZW262146:CAH262146 CJS262146:CKD262146 CTO262146:CTZ262146 DDK262146:DDV262146 DNG262146:DNR262146 DXC262146:DXN262146 EGY262146:EHJ262146 EQU262146:ERF262146 FAQ262146:FBB262146 FKM262146:FKX262146 FUI262146:FUT262146 GEE262146:GEP262146 GOA262146:GOL262146 GXW262146:GYH262146 HHS262146:HID262146 HRO262146:HRZ262146 IBK262146:IBV262146 ILG262146:ILR262146 IVC262146:IVN262146 JEY262146:JFJ262146 JOU262146:JPF262146 JYQ262146:JZB262146 KIM262146:KIX262146 KSI262146:KST262146 LCE262146:LCP262146 LMA262146:LML262146 LVW262146:LWH262146 MFS262146:MGD262146 MPO262146:MPZ262146 MZK262146:MZV262146 NJG262146:NJR262146 NTC262146:NTN262146 OCY262146:ODJ262146 OMU262146:ONF262146 OWQ262146:OXB262146 PGM262146:PGX262146 PQI262146:PQT262146 QAE262146:QAP262146 QKA262146:QKL262146 QTW262146:QUH262146 RDS262146:RED262146 RNO262146:RNZ262146 RXK262146:RXV262146 SHG262146:SHR262146 SRC262146:SRN262146 TAY262146:TBJ262146 TKU262146:TLF262146 TUQ262146:TVB262146 UEM262146:UEX262146 UOI262146:UOT262146 UYE262146:UYP262146 VIA262146:VIL262146 VRW262146:VSH262146 WBS262146:WCD262146 WLO262146:WLZ262146 WVK262146:WVV262146 C327682:N327682 IY327682:JJ327682 SU327682:TF327682 ACQ327682:ADB327682 AMM327682:AMX327682 AWI327682:AWT327682 BGE327682:BGP327682 BQA327682:BQL327682 BZW327682:CAH327682 CJS327682:CKD327682 CTO327682:CTZ327682 DDK327682:DDV327682 DNG327682:DNR327682 DXC327682:DXN327682 EGY327682:EHJ327682 EQU327682:ERF327682 FAQ327682:FBB327682 FKM327682:FKX327682 FUI327682:FUT327682 GEE327682:GEP327682 GOA327682:GOL327682 GXW327682:GYH327682 HHS327682:HID327682 HRO327682:HRZ327682 IBK327682:IBV327682 ILG327682:ILR327682 IVC327682:IVN327682 JEY327682:JFJ327682 JOU327682:JPF327682 JYQ327682:JZB327682 KIM327682:KIX327682 KSI327682:KST327682 LCE327682:LCP327682 LMA327682:LML327682 LVW327682:LWH327682 MFS327682:MGD327682 MPO327682:MPZ327682 MZK327682:MZV327682 NJG327682:NJR327682 NTC327682:NTN327682 OCY327682:ODJ327682 OMU327682:ONF327682 OWQ327682:OXB327682 PGM327682:PGX327682 PQI327682:PQT327682 QAE327682:QAP327682 QKA327682:QKL327682 QTW327682:QUH327682 RDS327682:RED327682 RNO327682:RNZ327682 RXK327682:RXV327682 SHG327682:SHR327682 SRC327682:SRN327682 TAY327682:TBJ327682 TKU327682:TLF327682 TUQ327682:TVB327682 UEM327682:UEX327682 UOI327682:UOT327682 UYE327682:UYP327682 VIA327682:VIL327682 VRW327682:VSH327682 WBS327682:WCD327682 WLO327682:WLZ327682 WVK327682:WVV327682 C393218:N393218 IY393218:JJ393218 SU393218:TF393218 ACQ393218:ADB393218 AMM393218:AMX393218 AWI393218:AWT393218 BGE393218:BGP393218 BQA393218:BQL393218 BZW393218:CAH393218 CJS393218:CKD393218 CTO393218:CTZ393218 DDK393218:DDV393218 DNG393218:DNR393218 DXC393218:DXN393218 EGY393218:EHJ393218 EQU393218:ERF393218 FAQ393218:FBB393218 FKM393218:FKX393218 FUI393218:FUT393218 GEE393218:GEP393218 GOA393218:GOL393218 GXW393218:GYH393218 HHS393218:HID393218 HRO393218:HRZ393218 IBK393218:IBV393218 ILG393218:ILR393218 IVC393218:IVN393218 JEY393218:JFJ393218 JOU393218:JPF393218 JYQ393218:JZB393218 KIM393218:KIX393218 KSI393218:KST393218 LCE393218:LCP393218 LMA393218:LML393218 LVW393218:LWH393218 MFS393218:MGD393218 MPO393218:MPZ393218 MZK393218:MZV393218 NJG393218:NJR393218 NTC393218:NTN393218 OCY393218:ODJ393218 OMU393218:ONF393218 OWQ393218:OXB393218 PGM393218:PGX393218 PQI393218:PQT393218 QAE393218:QAP393218 QKA393218:QKL393218 QTW393218:QUH393218 RDS393218:RED393218 RNO393218:RNZ393218 RXK393218:RXV393218 SHG393218:SHR393218 SRC393218:SRN393218 TAY393218:TBJ393218 TKU393218:TLF393218 TUQ393218:TVB393218 UEM393218:UEX393218 UOI393218:UOT393218 UYE393218:UYP393218 VIA393218:VIL393218 VRW393218:VSH393218 WBS393218:WCD393218 WLO393218:WLZ393218 WVK393218:WVV393218 C458754:N458754 IY458754:JJ458754 SU458754:TF458754 ACQ458754:ADB458754 AMM458754:AMX458754 AWI458754:AWT458754 BGE458754:BGP458754 BQA458754:BQL458754 BZW458754:CAH458754 CJS458754:CKD458754 CTO458754:CTZ458754 DDK458754:DDV458754 DNG458754:DNR458754 DXC458754:DXN458754 EGY458754:EHJ458754 EQU458754:ERF458754 FAQ458754:FBB458754 FKM458754:FKX458754 FUI458754:FUT458754 GEE458754:GEP458754 GOA458754:GOL458754 GXW458754:GYH458754 HHS458754:HID458754 HRO458754:HRZ458754 IBK458754:IBV458754 ILG458754:ILR458754 IVC458754:IVN458754 JEY458754:JFJ458754 JOU458754:JPF458754 JYQ458754:JZB458754 KIM458754:KIX458754 KSI458754:KST458754 LCE458754:LCP458754 LMA458754:LML458754 LVW458754:LWH458754 MFS458754:MGD458754 MPO458754:MPZ458754 MZK458754:MZV458754 NJG458754:NJR458754 NTC458754:NTN458754 OCY458754:ODJ458754 OMU458754:ONF458754 OWQ458754:OXB458754 PGM458754:PGX458754 PQI458754:PQT458754 QAE458754:QAP458754 QKA458754:QKL458754 QTW458754:QUH458754 RDS458754:RED458754 RNO458754:RNZ458754 RXK458754:RXV458754 SHG458754:SHR458754 SRC458754:SRN458754 TAY458754:TBJ458754 TKU458754:TLF458754 TUQ458754:TVB458754 UEM458754:UEX458754 UOI458754:UOT458754 UYE458754:UYP458754 VIA458754:VIL458754 VRW458754:VSH458754 WBS458754:WCD458754 WLO458754:WLZ458754 WVK458754:WVV458754 C524290:N524290 IY524290:JJ524290 SU524290:TF524290 ACQ524290:ADB524290 AMM524290:AMX524290 AWI524290:AWT524290 BGE524290:BGP524290 BQA524290:BQL524290 BZW524290:CAH524290 CJS524290:CKD524290 CTO524290:CTZ524290 DDK524290:DDV524290 DNG524290:DNR524290 DXC524290:DXN524290 EGY524290:EHJ524290 EQU524290:ERF524290 FAQ524290:FBB524290 FKM524290:FKX524290 FUI524290:FUT524290 GEE524290:GEP524290 GOA524290:GOL524290 GXW524290:GYH524290 HHS524290:HID524290 HRO524290:HRZ524290 IBK524290:IBV524290 ILG524290:ILR524290 IVC524290:IVN524290 JEY524290:JFJ524290 JOU524290:JPF524290 JYQ524290:JZB524290 KIM524290:KIX524290 KSI524290:KST524290 LCE524290:LCP524290 LMA524290:LML524290 LVW524290:LWH524290 MFS524290:MGD524290 MPO524290:MPZ524290 MZK524290:MZV524290 NJG524290:NJR524290 NTC524290:NTN524290 OCY524290:ODJ524290 OMU524290:ONF524290 OWQ524290:OXB524290 PGM524290:PGX524290 PQI524290:PQT524290 QAE524290:QAP524290 QKA524290:QKL524290 QTW524290:QUH524290 RDS524290:RED524290 RNO524290:RNZ524290 RXK524290:RXV524290 SHG524290:SHR524290 SRC524290:SRN524290 TAY524290:TBJ524290 TKU524290:TLF524290 TUQ524290:TVB524290 UEM524290:UEX524290 UOI524290:UOT524290 UYE524290:UYP524290 VIA524290:VIL524290 VRW524290:VSH524290 WBS524290:WCD524290 WLO524290:WLZ524290 WVK524290:WVV524290 C589826:N589826 IY589826:JJ589826 SU589826:TF589826 ACQ589826:ADB589826 AMM589826:AMX589826 AWI589826:AWT589826 BGE589826:BGP589826 BQA589826:BQL589826 BZW589826:CAH589826 CJS589826:CKD589826 CTO589826:CTZ589826 DDK589826:DDV589826 DNG589826:DNR589826 DXC589826:DXN589826 EGY589826:EHJ589826 EQU589826:ERF589826 FAQ589826:FBB589826 FKM589826:FKX589826 FUI589826:FUT589826 GEE589826:GEP589826 GOA589826:GOL589826 GXW589826:GYH589826 HHS589826:HID589826 HRO589826:HRZ589826 IBK589826:IBV589826 ILG589826:ILR589826 IVC589826:IVN589826 JEY589826:JFJ589826 JOU589826:JPF589826 JYQ589826:JZB589826 KIM589826:KIX589826 KSI589826:KST589826 LCE589826:LCP589826 LMA589826:LML589826 LVW589826:LWH589826 MFS589826:MGD589826 MPO589826:MPZ589826 MZK589826:MZV589826 NJG589826:NJR589826 NTC589826:NTN589826 OCY589826:ODJ589826 OMU589826:ONF589826 OWQ589826:OXB589826 PGM589826:PGX589826 PQI589826:PQT589826 QAE589826:QAP589826 QKA589826:QKL589826 QTW589826:QUH589826 RDS589826:RED589826 RNO589826:RNZ589826 RXK589826:RXV589826 SHG589826:SHR589826 SRC589826:SRN589826 TAY589826:TBJ589826 TKU589826:TLF589826 TUQ589826:TVB589826 UEM589826:UEX589826 UOI589826:UOT589826 UYE589826:UYP589826 VIA589826:VIL589826 VRW589826:VSH589826 WBS589826:WCD589826 WLO589826:WLZ589826 WVK589826:WVV589826 C655362:N655362 IY655362:JJ655362 SU655362:TF655362 ACQ655362:ADB655362 AMM655362:AMX655362 AWI655362:AWT655362 BGE655362:BGP655362 BQA655362:BQL655362 BZW655362:CAH655362 CJS655362:CKD655362 CTO655362:CTZ655362 DDK655362:DDV655362 DNG655362:DNR655362 DXC655362:DXN655362 EGY655362:EHJ655362 EQU655362:ERF655362 FAQ655362:FBB655362 FKM655362:FKX655362 FUI655362:FUT655362 GEE655362:GEP655362 GOA655362:GOL655362 GXW655362:GYH655362 HHS655362:HID655362 HRO655362:HRZ655362 IBK655362:IBV655362 ILG655362:ILR655362 IVC655362:IVN655362 JEY655362:JFJ655362 JOU655362:JPF655362 JYQ655362:JZB655362 KIM655362:KIX655362 KSI655362:KST655362 LCE655362:LCP655362 LMA655362:LML655362 LVW655362:LWH655362 MFS655362:MGD655362 MPO655362:MPZ655362 MZK655362:MZV655362 NJG655362:NJR655362 NTC655362:NTN655362 OCY655362:ODJ655362 OMU655362:ONF655362 OWQ655362:OXB655362 PGM655362:PGX655362 PQI655362:PQT655362 QAE655362:QAP655362 QKA655362:QKL655362 QTW655362:QUH655362 RDS655362:RED655362 RNO655362:RNZ655362 RXK655362:RXV655362 SHG655362:SHR655362 SRC655362:SRN655362 TAY655362:TBJ655362 TKU655362:TLF655362 TUQ655362:TVB655362 UEM655362:UEX655362 UOI655362:UOT655362 UYE655362:UYP655362 VIA655362:VIL655362 VRW655362:VSH655362 WBS655362:WCD655362 WLO655362:WLZ655362 WVK655362:WVV655362 C720898:N720898 IY720898:JJ720898 SU720898:TF720898 ACQ720898:ADB720898 AMM720898:AMX720898 AWI720898:AWT720898 BGE720898:BGP720898 BQA720898:BQL720898 BZW720898:CAH720898 CJS720898:CKD720898 CTO720898:CTZ720898 DDK720898:DDV720898 DNG720898:DNR720898 DXC720898:DXN720898 EGY720898:EHJ720898 EQU720898:ERF720898 FAQ720898:FBB720898 FKM720898:FKX720898 FUI720898:FUT720898 GEE720898:GEP720898 GOA720898:GOL720898 GXW720898:GYH720898 HHS720898:HID720898 HRO720898:HRZ720898 IBK720898:IBV720898 ILG720898:ILR720898 IVC720898:IVN720898 JEY720898:JFJ720898 JOU720898:JPF720898 JYQ720898:JZB720898 KIM720898:KIX720898 KSI720898:KST720898 LCE720898:LCP720898 LMA720898:LML720898 LVW720898:LWH720898 MFS720898:MGD720898 MPO720898:MPZ720898 MZK720898:MZV720898 NJG720898:NJR720898 NTC720898:NTN720898 OCY720898:ODJ720898 OMU720898:ONF720898 OWQ720898:OXB720898 PGM720898:PGX720898 PQI720898:PQT720898 QAE720898:QAP720898 QKA720898:QKL720898 QTW720898:QUH720898 RDS720898:RED720898 RNO720898:RNZ720898 RXK720898:RXV720898 SHG720898:SHR720898 SRC720898:SRN720898 TAY720898:TBJ720898 TKU720898:TLF720898 TUQ720898:TVB720898 UEM720898:UEX720898 UOI720898:UOT720898 UYE720898:UYP720898 VIA720898:VIL720898 VRW720898:VSH720898 WBS720898:WCD720898 WLO720898:WLZ720898 WVK720898:WVV720898 C786434:N786434 IY786434:JJ786434 SU786434:TF786434 ACQ786434:ADB786434 AMM786434:AMX786434 AWI786434:AWT786434 BGE786434:BGP786434 BQA786434:BQL786434 BZW786434:CAH786434 CJS786434:CKD786434 CTO786434:CTZ786434 DDK786434:DDV786434 DNG786434:DNR786434 DXC786434:DXN786434 EGY786434:EHJ786434 EQU786434:ERF786434 FAQ786434:FBB786434 FKM786434:FKX786434 FUI786434:FUT786434 GEE786434:GEP786434 GOA786434:GOL786434 GXW786434:GYH786434 HHS786434:HID786434 HRO786434:HRZ786434 IBK786434:IBV786434 ILG786434:ILR786434 IVC786434:IVN786434 JEY786434:JFJ786434 JOU786434:JPF786434 JYQ786434:JZB786434 KIM786434:KIX786434 KSI786434:KST786434 LCE786434:LCP786434 LMA786434:LML786434 LVW786434:LWH786434 MFS786434:MGD786434 MPO786434:MPZ786434 MZK786434:MZV786434 NJG786434:NJR786434 NTC786434:NTN786434 OCY786434:ODJ786434 OMU786434:ONF786434 OWQ786434:OXB786434 PGM786434:PGX786434 PQI786434:PQT786434 QAE786434:QAP786434 QKA786434:QKL786434 QTW786434:QUH786434 RDS786434:RED786434 RNO786434:RNZ786434 RXK786434:RXV786434 SHG786434:SHR786434 SRC786434:SRN786434 TAY786434:TBJ786434 TKU786434:TLF786434 TUQ786434:TVB786434 UEM786434:UEX786434 UOI786434:UOT786434 UYE786434:UYP786434 VIA786434:VIL786434 VRW786434:VSH786434 WBS786434:WCD786434 WLO786434:WLZ786434 WVK786434:WVV786434 C851970:N851970 IY851970:JJ851970 SU851970:TF851970 ACQ851970:ADB851970 AMM851970:AMX851970 AWI851970:AWT851970 BGE851970:BGP851970 BQA851970:BQL851970 BZW851970:CAH851970 CJS851970:CKD851970 CTO851970:CTZ851970 DDK851970:DDV851970 DNG851970:DNR851970 DXC851970:DXN851970 EGY851970:EHJ851970 EQU851970:ERF851970 FAQ851970:FBB851970 FKM851970:FKX851970 FUI851970:FUT851970 GEE851970:GEP851970 GOA851970:GOL851970 GXW851970:GYH851970 HHS851970:HID851970 HRO851970:HRZ851970 IBK851970:IBV851970 ILG851970:ILR851970 IVC851970:IVN851970 JEY851970:JFJ851970 JOU851970:JPF851970 JYQ851970:JZB851970 KIM851970:KIX851970 KSI851970:KST851970 LCE851970:LCP851970 LMA851970:LML851970 LVW851970:LWH851970 MFS851970:MGD851970 MPO851970:MPZ851970 MZK851970:MZV851970 NJG851970:NJR851970 NTC851970:NTN851970 OCY851970:ODJ851970 OMU851970:ONF851970 OWQ851970:OXB851970 PGM851970:PGX851970 PQI851970:PQT851970 QAE851970:QAP851970 QKA851970:QKL851970 QTW851970:QUH851970 RDS851970:RED851970 RNO851970:RNZ851970 RXK851970:RXV851970 SHG851970:SHR851970 SRC851970:SRN851970 TAY851970:TBJ851970 TKU851970:TLF851970 TUQ851970:TVB851970 UEM851970:UEX851970 UOI851970:UOT851970 UYE851970:UYP851970 VIA851970:VIL851970 VRW851970:VSH851970 WBS851970:WCD851970 WLO851970:WLZ851970 WVK851970:WVV851970 C917506:N917506 IY917506:JJ917506 SU917506:TF917506 ACQ917506:ADB917506 AMM917506:AMX917506 AWI917506:AWT917506 BGE917506:BGP917506 BQA917506:BQL917506 BZW917506:CAH917506 CJS917506:CKD917506 CTO917506:CTZ917506 DDK917506:DDV917506 DNG917506:DNR917506 DXC917506:DXN917506 EGY917506:EHJ917506 EQU917506:ERF917506 FAQ917506:FBB917506 FKM917506:FKX917506 FUI917506:FUT917506 GEE917506:GEP917506 GOA917506:GOL917506 GXW917506:GYH917506 HHS917506:HID917506 HRO917506:HRZ917506 IBK917506:IBV917506 ILG917506:ILR917506 IVC917506:IVN917506 JEY917506:JFJ917506 JOU917506:JPF917506 JYQ917506:JZB917506 KIM917506:KIX917506 KSI917506:KST917506 LCE917506:LCP917506 LMA917506:LML917506 LVW917506:LWH917506 MFS917506:MGD917506 MPO917506:MPZ917506 MZK917506:MZV917506 NJG917506:NJR917506 NTC917506:NTN917506 OCY917506:ODJ917506 OMU917506:ONF917506 OWQ917506:OXB917506 PGM917506:PGX917506 PQI917506:PQT917506 QAE917506:QAP917506 QKA917506:QKL917506 QTW917506:QUH917506 RDS917506:RED917506 RNO917506:RNZ917506 RXK917506:RXV917506 SHG917506:SHR917506 SRC917506:SRN917506 TAY917506:TBJ917506 TKU917506:TLF917506 TUQ917506:TVB917506 UEM917506:UEX917506 UOI917506:UOT917506 UYE917506:UYP917506 VIA917506:VIL917506 VRW917506:VSH917506 WBS917506:WCD917506 WLO917506:WLZ917506 WVK917506:WVV917506 C983042:N983042 IY983042:JJ983042 SU983042:TF983042 ACQ983042:ADB983042 AMM983042:AMX983042 AWI983042:AWT983042 BGE983042:BGP983042 BQA983042:BQL983042 BZW983042:CAH983042 CJS983042:CKD983042 CTO983042:CTZ983042 DDK983042:DDV983042 DNG983042:DNR983042 DXC983042:DXN983042 EGY983042:EHJ983042 EQU983042:ERF983042 FAQ983042:FBB983042 FKM983042:FKX983042 FUI983042:FUT983042 GEE983042:GEP983042 GOA983042:GOL983042 GXW983042:GYH983042 HHS983042:HID983042 HRO983042:HRZ983042 IBK983042:IBV983042 ILG983042:ILR983042 IVC983042:IVN983042 JEY983042:JFJ983042 JOU983042:JPF983042 JYQ983042:JZB983042 KIM983042:KIX983042 KSI983042:KST983042 LCE983042:LCP983042 LMA983042:LML983042 LVW983042:LWH983042 MFS983042:MGD983042 MPO983042:MPZ983042 MZK983042:MZV983042 NJG983042:NJR983042 NTC983042:NTN983042 OCY983042:ODJ983042 OMU983042:ONF983042 OWQ983042:OXB983042 PGM983042:PGX983042 PQI983042:PQT983042 QAE983042:QAP983042 QKA983042:QKL983042 QTW983042:QUH983042 RDS983042:RED983042 RNO983042:RNZ983042 RXK983042:RXV983042 SHG983042:SHR983042 SRC983042:SRN983042 TAY983042:TBJ983042 TKU983042:TLF983042 TUQ983042:TVB983042 UEM983042:UEX983042 UOI983042:UOT983042 UYE983042:UYP983042 VIA983042:VIL983042 VRW983042:VSH983042 WBS983042:WCD983042 WLO983042:WLZ983042">
      <formula1>0</formula1>
      <formula2>23</formula2>
    </dataValidation>
    <dataValidation type="whole" allowBlank="1" showInputMessage="1" showErrorMessage="1" errorTitle="Invalid Data" error="Enter only Monday-Friday operating days for the month" sqref="WLY983059:WLZ983059 IZ26:JG26 SV26:TC26 ACR26:ACY26 AMN26:AMU26 AWJ26:AWQ26 BGF26:BGM26 BQB26:BQI26 BZX26:CAE26 CJT26:CKA26 CTP26:CTW26 DDL26:DDS26 DNH26:DNO26 DXD26:DXK26 EGZ26:EHG26 EQV26:ERC26 FAR26:FAY26 FKN26:FKU26 FUJ26:FUQ26 GEF26:GEM26 GOB26:GOI26 GXX26:GYE26 HHT26:HIA26 HRP26:HRW26 IBL26:IBS26 ILH26:ILO26 IVD26:IVK26 JEZ26:JFG26 JOV26:JPC26 JYR26:JYY26 KIN26:KIU26 KSJ26:KSQ26 LCF26:LCM26 LMB26:LMI26 LVX26:LWE26 MFT26:MGA26 MPP26:MPW26 MZL26:MZS26 NJH26:NJO26 NTD26:NTK26 OCZ26:ODG26 OMV26:ONC26 OWR26:OWY26 PGN26:PGU26 PQJ26:PQQ26 QAF26:QAM26 QKB26:QKI26 QTX26:QUE26 RDT26:REA26 RNP26:RNW26 RXL26:RXS26 SHH26:SHO26 SRD26:SRK26 TAZ26:TBG26 TKV26:TLC26 TUR26:TUY26 UEN26:UEU26 UOJ26:UOQ26 UYF26:UYM26 VIB26:VII26 VRX26:VSE26 WBT26:WCA26 WLP26:WLW26 WVL26:WVS26 D65555:K65555 IZ65555:JG65555 SV65555:TC65555 ACR65555:ACY65555 AMN65555:AMU65555 AWJ65555:AWQ65555 BGF65555:BGM65555 BQB65555:BQI65555 BZX65555:CAE65555 CJT65555:CKA65555 CTP65555:CTW65555 DDL65555:DDS65555 DNH65555:DNO65555 DXD65555:DXK65555 EGZ65555:EHG65555 EQV65555:ERC65555 FAR65555:FAY65555 FKN65555:FKU65555 FUJ65555:FUQ65555 GEF65555:GEM65555 GOB65555:GOI65555 GXX65555:GYE65555 HHT65555:HIA65555 HRP65555:HRW65555 IBL65555:IBS65555 ILH65555:ILO65555 IVD65555:IVK65555 JEZ65555:JFG65555 JOV65555:JPC65555 JYR65555:JYY65555 KIN65555:KIU65555 KSJ65555:KSQ65555 LCF65555:LCM65555 LMB65555:LMI65555 LVX65555:LWE65555 MFT65555:MGA65555 MPP65555:MPW65555 MZL65555:MZS65555 NJH65555:NJO65555 NTD65555:NTK65555 OCZ65555:ODG65555 OMV65555:ONC65555 OWR65555:OWY65555 PGN65555:PGU65555 PQJ65555:PQQ65555 QAF65555:QAM65555 QKB65555:QKI65555 QTX65555:QUE65555 RDT65555:REA65555 RNP65555:RNW65555 RXL65555:RXS65555 SHH65555:SHO65555 SRD65555:SRK65555 TAZ65555:TBG65555 TKV65555:TLC65555 TUR65555:TUY65555 UEN65555:UEU65555 UOJ65555:UOQ65555 UYF65555:UYM65555 VIB65555:VII65555 VRX65555:VSE65555 WBT65555:WCA65555 WLP65555:WLW65555 WVL65555:WVS65555 D131091:K131091 IZ131091:JG131091 SV131091:TC131091 ACR131091:ACY131091 AMN131091:AMU131091 AWJ131091:AWQ131091 BGF131091:BGM131091 BQB131091:BQI131091 BZX131091:CAE131091 CJT131091:CKA131091 CTP131091:CTW131091 DDL131091:DDS131091 DNH131091:DNO131091 DXD131091:DXK131091 EGZ131091:EHG131091 EQV131091:ERC131091 FAR131091:FAY131091 FKN131091:FKU131091 FUJ131091:FUQ131091 GEF131091:GEM131091 GOB131091:GOI131091 GXX131091:GYE131091 HHT131091:HIA131091 HRP131091:HRW131091 IBL131091:IBS131091 ILH131091:ILO131091 IVD131091:IVK131091 JEZ131091:JFG131091 JOV131091:JPC131091 JYR131091:JYY131091 KIN131091:KIU131091 KSJ131091:KSQ131091 LCF131091:LCM131091 LMB131091:LMI131091 LVX131091:LWE131091 MFT131091:MGA131091 MPP131091:MPW131091 MZL131091:MZS131091 NJH131091:NJO131091 NTD131091:NTK131091 OCZ131091:ODG131091 OMV131091:ONC131091 OWR131091:OWY131091 PGN131091:PGU131091 PQJ131091:PQQ131091 QAF131091:QAM131091 QKB131091:QKI131091 QTX131091:QUE131091 RDT131091:REA131091 RNP131091:RNW131091 RXL131091:RXS131091 SHH131091:SHO131091 SRD131091:SRK131091 TAZ131091:TBG131091 TKV131091:TLC131091 TUR131091:TUY131091 UEN131091:UEU131091 UOJ131091:UOQ131091 UYF131091:UYM131091 VIB131091:VII131091 VRX131091:VSE131091 WBT131091:WCA131091 WLP131091:WLW131091 WVL131091:WVS131091 D196627:K196627 IZ196627:JG196627 SV196627:TC196627 ACR196627:ACY196627 AMN196627:AMU196627 AWJ196627:AWQ196627 BGF196627:BGM196627 BQB196627:BQI196627 BZX196627:CAE196627 CJT196627:CKA196627 CTP196627:CTW196627 DDL196627:DDS196627 DNH196627:DNO196627 DXD196627:DXK196627 EGZ196627:EHG196627 EQV196627:ERC196627 FAR196627:FAY196627 FKN196627:FKU196627 FUJ196627:FUQ196627 GEF196627:GEM196627 GOB196627:GOI196627 GXX196627:GYE196627 HHT196627:HIA196627 HRP196627:HRW196627 IBL196627:IBS196627 ILH196627:ILO196627 IVD196627:IVK196627 JEZ196627:JFG196627 JOV196627:JPC196627 JYR196627:JYY196627 KIN196627:KIU196627 KSJ196627:KSQ196627 LCF196627:LCM196627 LMB196627:LMI196627 LVX196627:LWE196627 MFT196627:MGA196627 MPP196627:MPW196627 MZL196627:MZS196627 NJH196627:NJO196627 NTD196627:NTK196627 OCZ196627:ODG196627 OMV196627:ONC196627 OWR196627:OWY196627 PGN196627:PGU196627 PQJ196627:PQQ196627 QAF196627:QAM196627 QKB196627:QKI196627 QTX196627:QUE196627 RDT196627:REA196627 RNP196627:RNW196627 RXL196627:RXS196627 SHH196627:SHO196627 SRD196627:SRK196627 TAZ196627:TBG196627 TKV196627:TLC196627 TUR196627:TUY196627 UEN196627:UEU196627 UOJ196627:UOQ196627 UYF196627:UYM196627 VIB196627:VII196627 VRX196627:VSE196627 WBT196627:WCA196627 WLP196627:WLW196627 WVL196627:WVS196627 D262163:K262163 IZ262163:JG262163 SV262163:TC262163 ACR262163:ACY262163 AMN262163:AMU262163 AWJ262163:AWQ262163 BGF262163:BGM262163 BQB262163:BQI262163 BZX262163:CAE262163 CJT262163:CKA262163 CTP262163:CTW262163 DDL262163:DDS262163 DNH262163:DNO262163 DXD262163:DXK262163 EGZ262163:EHG262163 EQV262163:ERC262163 FAR262163:FAY262163 FKN262163:FKU262163 FUJ262163:FUQ262163 GEF262163:GEM262163 GOB262163:GOI262163 GXX262163:GYE262163 HHT262163:HIA262163 HRP262163:HRW262163 IBL262163:IBS262163 ILH262163:ILO262163 IVD262163:IVK262163 JEZ262163:JFG262163 JOV262163:JPC262163 JYR262163:JYY262163 KIN262163:KIU262163 KSJ262163:KSQ262163 LCF262163:LCM262163 LMB262163:LMI262163 LVX262163:LWE262163 MFT262163:MGA262163 MPP262163:MPW262163 MZL262163:MZS262163 NJH262163:NJO262163 NTD262163:NTK262163 OCZ262163:ODG262163 OMV262163:ONC262163 OWR262163:OWY262163 PGN262163:PGU262163 PQJ262163:PQQ262163 QAF262163:QAM262163 QKB262163:QKI262163 QTX262163:QUE262163 RDT262163:REA262163 RNP262163:RNW262163 RXL262163:RXS262163 SHH262163:SHO262163 SRD262163:SRK262163 TAZ262163:TBG262163 TKV262163:TLC262163 TUR262163:TUY262163 UEN262163:UEU262163 UOJ262163:UOQ262163 UYF262163:UYM262163 VIB262163:VII262163 VRX262163:VSE262163 WBT262163:WCA262163 WLP262163:WLW262163 WVL262163:WVS262163 D327699:K327699 IZ327699:JG327699 SV327699:TC327699 ACR327699:ACY327699 AMN327699:AMU327699 AWJ327699:AWQ327699 BGF327699:BGM327699 BQB327699:BQI327699 BZX327699:CAE327699 CJT327699:CKA327699 CTP327699:CTW327699 DDL327699:DDS327699 DNH327699:DNO327699 DXD327699:DXK327699 EGZ327699:EHG327699 EQV327699:ERC327699 FAR327699:FAY327699 FKN327699:FKU327699 FUJ327699:FUQ327699 GEF327699:GEM327699 GOB327699:GOI327699 GXX327699:GYE327699 HHT327699:HIA327699 HRP327699:HRW327699 IBL327699:IBS327699 ILH327699:ILO327699 IVD327699:IVK327699 JEZ327699:JFG327699 JOV327699:JPC327699 JYR327699:JYY327699 KIN327699:KIU327699 KSJ327699:KSQ327699 LCF327699:LCM327699 LMB327699:LMI327699 LVX327699:LWE327699 MFT327699:MGA327699 MPP327699:MPW327699 MZL327699:MZS327699 NJH327699:NJO327699 NTD327699:NTK327699 OCZ327699:ODG327699 OMV327699:ONC327699 OWR327699:OWY327699 PGN327699:PGU327699 PQJ327699:PQQ327699 QAF327699:QAM327699 QKB327699:QKI327699 QTX327699:QUE327699 RDT327699:REA327699 RNP327699:RNW327699 RXL327699:RXS327699 SHH327699:SHO327699 SRD327699:SRK327699 TAZ327699:TBG327699 TKV327699:TLC327699 TUR327699:TUY327699 UEN327699:UEU327699 UOJ327699:UOQ327699 UYF327699:UYM327699 VIB327699:VII327699 VRX327699:VSE327699 WBT327699:WCA327699 WLP327699:WLW327699 WVL327699:WVS327699 D393235:K393235 IZ393235:JG393235 SV393235:TC393235 ACR393235:ACY393235 AMN393235:AMU393235 AWJ393235:AWQ393235 BGF393235:BGM393235 BQB393235:BQI393235 BZX393235:CAE393235 CJT393235:CKA393235 CTP393235:CTW393235 DDL393235:DDS393235 DNH393235:DNO393235 DXD393235:DXK393235 EGZ393235:EHG393235 EQV393235:ERC393235 FAR393235:FAY393235 FKN393235:FKU393235 FUJ393235:FUQ393235 GEF393235:GEM393235 GOB393235:GOI393235 GXX393235:GYE393235 HHT393235:HIA393235 HRP393235:HRW393235 IBL393235:IBS393235 ILH393235:ILO393235 IVD393235:IVK393235 JEZ393235:JFG393235 JOV393235:JPC393235 JYR393235:JYY393235 KIN393235:KIU393235 KSJ393235:KSQ393235 LCF393235:LCM393235 LMB393235:LMI393235 LVX393235:LWE393235 MFT393235:MGA393235 MPP393235:MPW393235 MZL393235:MZS393235 NJH393235:NJO393235 NTD393235:NTK393235 OCZ393235:ODG393235 OMV393235:ONC393235 OWR393235:OWY393235 PGN393235:PGU393235 PQJ393235:PQQ393235 QAF393235:QAM393235 QKB393235:QKI393235 QTX393235:QUE393235 RDT393235:REA393235 RNP393235:RNW393235 RXL393235:RXS393235 SHH393235:SHO393235 SRD393235:SRK393235 TAZ393235:TBG393235 TKV393235:TLC393235 TUR393235:TUY393235 UEN393235:UEU393235 UOJ393235:UOQ393235 UYF393235:UYM393235 VIB393235:VII393235 VRX393235:VSE393235 WBT393235:WCA393235 WLP393235:WLW393235 WVL393235:WVS393235 D458771:K458771 IZ458771:JG458771 SV458771:TC458771 ACR458771:ACY458771 AMN458771:AMU458771 AWJ458771:AWQ458771 BGF458771:BGM458771 BQB458771:BQI458771 BZX458771:CAE458771 CJT458771:CKA458771 CTP458771:CTW458771 DDL458771:DDS458771 DNH458771:DNO458771 DXD458771:DXK458771 EGZ458771:EHG458771 EQV458771:ERC458771 FAR458771:FAY458771 FKN458771:FKU458771 FUJ458771:FUQ458771 GEF458771:GEM458771 GOB458771:GOI458771 GXX458771:GYE458771 HHT458771:HIA458771 HRP458771:HRW458771 IBL458771:IBS458771 ILH458771:ILO458771 IVD458771:IVK458771 JEZ458771:JFG458771 JOV458771:JPC458771 JYR458771:JYY458771 KIN458771:KIU458771 KSJ458771:KSQ458771 LCF458771:LCM458771 LMB458771:LMI458771 LVX458771:LWE458771 MFT458771:MGA458771 MPP458771:MPW458771 MZL458771:MZS458771 NJH458771:NJO458771 NTD458771:NTK458771 OCZ458771:ODG458771 OMV458771:ONC458771 OWR458771:OWY458771 PGN458771:PGU458771 PQJ458771:PQQ458771 QAF458771:QAM458771 QKB458771:QKI458771 QTX458771:QUE458771 RDT458771:REA458771 RNP458771:RNW458771 RXL458771:RXS458771 SHH458771:SHO458771 SRD458771:SRK458771 TAZ458771:TBG458771 TKV458771:TLC458771 TUR458771:TUY458771 UEN458771:UEU458771 UOJ458771:UOQ458771 UYF458771:UYM458771 VIB458771:VII458771 VRX458771:VSE458771 WBT458771:WCA458771 WLP458771:WLW458771 WVL458771:WVS458771 D524307:K524307 IZ524307:JG524307 SV524307:TC524307 ACR524307:ACY524307 AMN524307:AMU524307 AWJ524307:AWQ524307 BGF524307:BGM524307 BQB524307:BQI524307 BZX524307:CAE524307 CJT524307:CKA524307 CTP524307:CTW524307 DDL524307:DDS524307 DNH524307:DNO524307 DXD524307:DXK524307 EGZ524307:EHG524307 EQV524307:ERC524307 FAR524307:FAY524307 FKN524307:FKU524307 FUJ524307:FUQ524307 GEF524307:GEM524307 GOB524307:GOI524307 GXX524307:GYE524307 HHT524307:HIA524307 HRP524307:HRW524307 IBL524307:IBS524307 ILH524307:ILO524307 IVD524307:IVK524307 JEZ524307:JFG524307 JOV524307:JPC524307 JYR524307:JYY524307 KIN524307:KIU524307 KSJ524307:KSQ524307 LCF524307:LCM524307 LMB524307:LMI524307 LVX524307:LWE524307 MFT524307:MGA524307 MPP524307:MPW524307 MZL524307:MZS524307 NJH524307:NJO524307 NTD524307:NTK524307 OCZ524307:ODG524307 OMV524307:ONC524307 OWR524307:OWY524307 PGN524307:PGU524307 PQJ524307:PQQ524307 QAF524307:QAM524307 QKB524307:QKI524307 QTX524307:QUE524307 RDT524307:REA524307 RNP524307:RNW524307 RXL524307:RXS524307 SHH524307:SHO524307 SRD524307:SRK524307 TAZ524307:TBG524307 TKV524307:TLC524307 TUR524307:TUY524307 UEN524307:UEU524307 UOJ524307:UOQ524307 UYF524307:UYM524307 VIB524307:VII524307 VRX524307:VSE524307 WBT524307:WCA524307 WLP524307:WLW524307 WVL524307:WVS524307 D589843:K589843 IZ589843:JG589843 SV589843:TC589843 ACR589843:ACY589843 AMN589843:AMU589843 AWJ589843:AWQ589843 BGF589843:BGM589843 BQB589843:BQI589843 BZX589843:CAE589843 CJT589843:CKA589843 CTP589843:CTW589843 DDL589843:DDS589843 DNH589843:DNO589843 DXD589843:DXK589843 EGZ589843:EHG589843 EQV589843:ERC589843 FAR589843:FAY589843 FKN589843:FKU589843 FUJ589843:FUQ589843 GEF589843:GEM589843 GOB589843:GOI589843 GXX589843:GYE589843 HHT589843:HIA589843 HRP589843:HRW589843 IBL589843:IBS589843 ILH589843:ILO589843 IVD589843:IVK589843 JEZ589843:JFG589843 JOV589843:JPC589843 JYR589843:JYY589843 KIN589843:KIU589843 KSJ589843:KSQ589843 LCF589843:LCM589843 LMB589843:LMI589843 LVX589843:LWE589843 MFT589843:MGA589843 MPP589843:MPW589843 MZL589843:MZS589843 NJH589843:NJO589843 NTD589843:NTK589843 OCZ589843:ODG589843 OMV589843:ONC589843 OWR589843:OWY589843 PGN589843:PGU589843 PQJ589843:PQQ589843 QAF589843:QAM589843 QKB589843:QKI589843 QTX589843:QUE589843 RDT589843:REA589843 RNP589843:RNW589843 RXL589843:RXS589843 SHH589843:SHO589843 SRD589843:SRK589843 TAZ589843:TBG589843 TKV589843:TLC589843 TUR589843:TUY589843 UEN589843:UEU589843 UOJ589843:UOQ589843 UYF589843:UYM589843 VIB589843:VII589843 VRX589843:VSE589843 WBT589843:WCA589843 WLP589843:WLW589843 WVL589843:WVS589843 D655379:K655379 IZ655379:JG655379 SV655379:TC655379 ACR655379:ACY655379 AMN655379:AMU655379 AWJ655379:AWQ655379 BGF655379:BGM655379 BQB655379:BQI655379 BZX655379:CAE655379 CJT655379:CKA655379 CTP655379:CTW655379 DDL655379:DDS655379 DNH655379:DNO655379 DXD655379:DXK655379 EGZ655379:EHG655379 EQV655379:ERC655379 FAR655379:FAY655379 FKN655379:FKU655379 FUJ655379:FUQ655379 GEF655379:GEM655379 GOB655379:GOI655379 GXX655379:GYE655379 HHT655379:HIA655379 HRP655379:HRW655379 IBL655379:IBS655379 ILH655379:ILO655379 IVD655379:IVK655379 JEZ655379:JFG655379 JOV655379:JPC655379 JYR655379:JYY655379 KIN655379:KIU655379 KSJ655379:KSQ655379 LCF655379:LCM655379 LMB655379:LMI655379 LVX655379:LWE655379 MFT655379:MGA655379 MPP655379:MPW655379 MZL655379:MZS655379 NJH655379:NJO655379 NTD655379:NTK655379 OCZ655379:ODG655379 OMV655379:ONC655379 OWR655379:OWY655379 PGN655379:PGU655379 PQJ655379:PQQ655379 QAF655379:QAM655379 QKB655379:QKI655379 QTX655379:QUE655379 RDT655379:REA655379 RNP655379:RNW655379 RXL655379:RXS655379 SHH655379:SHO655379 SRD655379:SRK655379 TAZ655379:TBG655379 TKV655379:TLC655379 TUR655379:TUY655379 UEN655379:UEU655379 UOJ655379:UOQ655379 UYF655379:UYM655379 VIB655379:VII655379 VRX655379:VSE655379 WBT655379:WCA655379 WLP655379:WLW655379 WVL655379:WVS655379 D720915:K720915 IZ720915:JG720915 SV720915:TC720915 ACR720915:ACY720915 AMN720915:AMU720915 AWJ720915:AWQ720915 BGF720915:BGM720915 BQB720915:BQI720915 BZX720915:CAE720915 CJT720915:CKA720915 CTP720915:CTW720915 DDL720915:DDS720915 DNH720915:DNO720915 DXD720915:DXK720915 EGZ720915:EHG720915 EQV720915:ERC720915 FAR720915:FAY720915 FKN720915:FKU720915 FUJ720915:FUQ720915 GEF720915:GEM720915 GOB720915:GOI720915 GXX720915:GYE720915 HHT720915:HIA720915 HRP720915:HRW720915 IBL720915:IBS720915 ILH720915:ILO720915 IVD720915:IVK720915 JEZ720915:JFG720915 JOV720915:JPC720915 JYR720915:JYY720915 KIN720915:KIU720915 KSJ720915:KSQ720915 LCF720915:LCM720915 LMB720915:LMI720915 LVX720915:LWE720915 MFT720915:MGA720915 MPP720915:MPW720915 MZL720915:MZS720915 NJH720915:NJO720915 NTD720915:NTK720915 OCZ720915:ODG720915 OMV720915:ONC720915 OWR720915:OWY720915 PGN720915:PGU720915 PQJ720915:PQQ720915 QAF720915:QAM720915 QKB720915:QKI720915 QTX720915:QUE720915 RDT720915:REA720915 RNP720915:RNW720915 RXL720915:RXS720915 SHH720915:SHO720915 SRD720915:SRK720915 TAZ720915:TBG720915 TKV720915:TLC720915 TUR720915:TUY720915 UEN720915:UEU720915 UOJ720915:UOQ720915 UYF720915:UYM720915 VIB720915:VII720915 VRX720915:VSE720915 WBT720915:WCA720915 WLP720915:WLW720915 WVL720915:WVS720915 D786451:K786451 IZ786451:JG786451 SV786451:TC786451 ACR786451:ACY786451 AMN786451:AMU786451 AWJ786451:AWQ786451 BGF786451:BGM786451 BQB786451:BQI786451 BZX786451:CAE786451 CJT786451:CKA786451 CTP786451:CTW786451 DDL786451:DDS786451 DNH786451:DNO786451 DXD786451:DXK786451 EGZ786451:EHG786451 EQV786451:ERC786451 FAR786451:FAY786451 FKN786451:FKU786451 FUJ786451:FUQ786451 GEF786451:GEM786451 GOB786451:GOI786451 GXX786451:GYE786451 HHT786451:HIA786451 HRP786451:HRW786451 IBL786451:IBS786451 ILH786451:ILO786451 IVD786451:IVK786451 JEZ786451:JFG786451 JOV786451:JPC786451 JYR786451:JYY786451 KIN786451:KIU786451 KSJ786451:KSQ786451 LCF786451:LCM786451 LMB786451:LMI786451 LVX786451:LWE786451 MFT786451:MGA786451 MPP786451:MPW786451 MZL786451:MZS786451 NJH786451:NJO786451 NTD786451:NTK786451 OCZ786451:ODG786451 OMV786451:ONC786451 OWR786451:OWY786451 PGN786451:PGU786451 PQJ786451:PQQ786451 QAF786451:QAM786451 QKB786451:QKI786451 QTX786451:QUE786451 RDT786451:REA786451 RNP786451:RNW786451 RXL786451:RXS786451 SHH786451:SHO786451 SRD786451:SRK786451 TAZ786451:TBG786451 TKV786451:TLC786451 TUR786451:TUY786451 UEN786451:UEU786451 UOJ786451:UOQ786451 UYF786451:UYM786451 VIB786451:VII786451 VRX786451:VSE786451 WBT786451:WCA786451 WLP786451:WLW786451 WVL786451:WVS786451 D851987:K851987 IZ851987:JG851987 SV851987:TC851987 ACR851987:ACY851987 AMN851987:AMU851987 AWJ851987:AWQ851987 BGF851987:BGM851987 BQB851987:BQI851987 BZX851987:CAE851987 CJT851987:CKA851987 CTP851987:CTW851987 DDL851987:DDS851987 DNH851987:DNO851987 DXD851987:DXK851987 EGZ851987:EHG851987 EQV851987:ERC851987 FAR851987:FAY851987 FKN851987:FKU851987 FUJ851987:FUQ851987 GEF851987:GEM851987 GOB851987:GOI851987 GXX851987:GYE851987 HHT851987:HIA851987 HRP851987:HRW851987 IBL851987:IBS851987 ILH851987:ILO851987 IVD851987:IVK851987 JEZ851987:JFG851987 JOV851987:JPC851987 JYR851987:JYY851987 KIN851987:KIU851987 KSJ851987:KSQ851987 LCF851987:LCM851987 LMB851987:LMI851987 LVX851987:LWE851987 MFT851987:MGA851987 MPP851987:MPW851987 MZL851987:MZS851987 NJH851987:NJO851987 NTD851987:NTK851987 OCZ851987:ODG851987 OMV851987:ONC851987 OWR851987:OWY851987 PGN851987:PGU851987 PQJ851987:PQQ851987 QAF851987:QAM851987 QKB851987:QKI851987 QTX851987:QUE851987 RDT851987:REA851987 RNP851987:RNW851987 RXL851987:RXS851987 SHH851987:SHO851987 SRD851987:SRK851987 TAZ851987:TBG851987 TKV851987:TLC851987 TUR851987:TUY851987 UEN851987:UEU851987 UOJ851987:UOQ851987 UYF851987:UYM851987 VIB851987:VII851987 VRX851987:VSE851987 WBT851987:WCA851987 WLP851987:WLW851987 WVL851987:WVS851987 D917523:K917523 IZ917523:JG917523 SV917523:TC917523 ACR917523:ACY917523 AMN917523:AMU917523 AWJ917523:AWQ917523 BGF917523:BGM917523 BQB917523:BQI917523 BZX917523:CAE917523 CJT917523:CKA917523 CTP917523:CTW917523 DDL917523:DDS917523 DNH917523:DNO917523 DXD917523:DXK917523 EGZ917523:EHG917523 EQV917523:ERC917523 FAR917523:FAY917523 FKN917523:FKU917523 FUJ917523:FUQ917523 GEF917523:GEM917523 GOB917523:GOI917523 GXX917523:GYE917523 HHT917523:HIA917523 HRP917523:HRW917523 IBL917523:IBS917523 ILH917523:ILO917523 IVD917523:IVK917523 JEZ917523:JFG917523 JOV917523:JPC917523 JYR917523:JYY917523 KIN917523:KIU917523 KSJ917523:KSQ917523 LCF917523:LCM917523 LMB917523:LMI917523 LVX917523:LWE917523 MFT917523:MGA917523 MPP917523:MPW917523 MZL917523:MZS917523 NJH917523:NJO917523 NTD917523:NTK917523 OCZ917523:ODG917523 OMV917523:ONC917523 OWR917523:OWY917523 PGN917523:PGU917523 PQJ917523:PQQ917523 QAF917523:QAM917523 QKB917523:QKI917523 QTX917523:QUE917523 RDT917523:REA917523 RNP917523:RNW917523 RXL917523:RXS917523 SHH917523:SHO917523 SRD917523:SRK917523 TAZ917523:TBG917523 TKV917523:TLC917523 TUR917523:TUY917523 UEN917523:UEU917523 UOJ917523:UOQ917523 UYF917523:UYM917523 VIB917523:VII917523 VRX917523:VSE917523 WBT917523:WCA917523 WLP917523:WLW917523 WVL917523:WVS917523 D983059:K983059 IZ983059:JG983059 SV983059:TC983059 ACR983059:ACY983059 AMN983059:AMU983059 AWJ983059:AWQ983059 BGF983059:BGM983059 BQB983059:BQI983059 BZX983059:CAE983059 CJT983059:CKA983059 CTP983059:CTW983059 DDL983059:DDS983059 DNH983059:DNO983059 DXD983059:DXK983059 EGZ983059:EHG983059 EQV983059:ERC983059 FAR983059:FAY983059 FKN983059:FKU983059 FUJ983059:FUQ983059 GEF983059:GEM983059 GOB983059:GOI983059 GXX983059:GYE983059 HHT983059:HIA983059 HRP983059:HRW983059 IBL983059:IBS983059 ILH983059:ILO983059 IVD983059:IVK983059 JEZ983059:JFG983059 JOV983059:JPC983059 JYR983059:JYY983059 KIN983059:KIU983059 KSJ983059:KSQ983059 LCF983059:LCM983059 LMB983059:LMI983059 LVX983059:LWE983059 MFT983059:MGA983059 MPP983059:MPW983059 MZL983059:MZS983059 NJH983059:NJO983059 NTD983059:NTK983059 OCZ983059:ODG983059 OMV983059:ONC983059 OWR983059:OWY983059 PGN983059:PGU983059 PQJ983059:PQQ983059 QAF983059:QAM983059 QKB983059:QKI983059 QTX983059:QUE983059 RDT983059:REA983059 RNP983059:RNW983059 RXL983059:RXS983059 SHH983059:SHO983059 SRD983059:SRK983059 TAZ983059:TBG983059 TKV983059:TLC983059 TUR983059:TUY983059 UEN983059:UEU983059 UOJ983059:UOQ983059 UYF983059:UYM983059 VIB983059:VII983059 VRX983059:VSE983059 WBT983059:WCA983059 WLP983059:WLW983059 WVL983059:WVS983059 WVU983059:WVV983059 JI26:JJ26 TE26:TF26 ADA26:ADB26 AMW26:AMX26 AWS26:AWT26 BGO26:BGP26 BQK26:BQL26 CAG26:CAH26 CKC26:CKD26 CTY26:CTZ26 DDU26:DDV26 DNQ26:DNR26 DXM26:DXN26 EHI26:EHJ26 ERE26:ERF26 FBA26:FBB26 FKW26:FKX26 FUS26:FUT26 GEO26:GEP26 GOK26:GOL26 GYG26:GYH26 HIC26:HID26 HRY26:HRZ26 IBU26:IBV26 ILQ26:ILR26 IVM26:IVN26 JFI26:JFJ26 JPE26:JPF26 JZA26:JZB26 KIW26:KIX26 KSS26:KST26 LCO26:LCP26 LMK26:LML26 LWG26:LWH26 MGC26:MGD26 MPY26:MPZ26 MZU26:MZV26 NJQ26:NJR26 NTM26:NTN26 ODI26:ODJ26 ONE26:ONF26 OXA26:OXB26 PGW26:PGX26 PQS26:PQT26 QAO26:QAP26 QKK26:QKL26 QUG26:QUH26 REC26:RED26 RNY26:RNZ26 RXU26:RXV26 SHQ26:SHR26 SRM26:SRN26 TBI26:TBJ26 TLE26:TLF26 TVA26:TVB26 UEW26:UEX26 UOS26:UOT26 UYO26:UYP26 VIK26:VIL26 VSG26:VSH26 WCC26:WCD26 WLY26:WLZ26 WVU26:WVV26 M65555:N65555 JI65555:JJ65555 TE65555:TF65555 ADA65555:ADB65555 AMW65555:AMX65555 AWS65555:AWT65555 BGO65555:BGP65555 BQK65555:BQL65555 CAG65555:CAH65555 CKC65555:CKD65555 CTY65555:CTZ65555 DDU65555:DDV65555 DNQ65555:DNR65555 DXM65555:DXN65555 EHI65555:EHJ65555 ERE65555:ERF65555 FBA65555:FBB65555 FKW65555:FKX65555 FUS65555:FUT65555 GEO65555:GEP65555 GOK65555:GOL65555 GYG65555:GYH65555 HIC65555:HID65555 HRY65555:HRZ65555 IBU65555:IBV65555 ILQ65555:ILR65555 IVM65555:IVN65555 JFI65555:JFJ65555 JPE65555:JPF65555 JZA65555:JZB65555 KIW65555:KIX65555 KSS65555:KST65555 LCO65555:LCP65555 LMK65555:LML65555 LWG65555:LWH65555 MGC65555:MGD65555 MPY65555:MPZ65555 MZU65555:MZV65555 NJQ65555:NJR65555 NTM65555:NTN65555 ODI65555:ODJ65555 ONE65555:ONF65555 OXA65555:OXB65555 PGW65555:PGX65555 PQS65555:PQT65555 QAO65555:QAP65555 QKK65555:QKL65555 QUG65555:QUH65555 REC65555:RED65555 RNY65555:RNZ65555 RXU65555:RXV65555 SHQ65555:SHR65555 SRM65555:SRN65555 TBI65555:TBJ65555 TLE65555:TLF65555 TVA65555:TVB65555 UEW65555:UEX65555 UOS65555:UOT65555 UYO65555:UYP65555 VIK65555:VIL65555 VSG65555:VSH65555 WCC65555:WCD65555 WLY65555:WLZ65555 WVU65555:WVV65555 M131091:N131091 JI131091:JJ131091 TE131091:TF131091 ADA131091:ADB131091 AMW131091:AMX131091 AWS131091:AWT131091 BGO131091:BGP131091 BQK131091:BQL131091 CAG131091:CAH131091 CKC131091:CKD131091 CTY131091:CTZ131091 DDU131091:DDV131091 DNQ131091:DNR131091 DXM131091:DXN131091 EHI131091:EHJ131091 ERE131091:ERF131091 FBA131091:FBB131091 FKW131091:FKX131091 FUS131091:FUT131091 GEO131091:GEP131091 GOK131091:GOL131091 GYG131091:GYH131091 HIC131091:HID131091 HRY131091:HRZ131091 IBU131091:IBV131091 ILQ131091:ILR131091 IVM131091:IVN131091 JFI131091:JFJ131091 JPE131091:JPF131091 JZA131091:JZB131091 KIW131091:KIX131091 KSS131091:KST131091 LCO131091:LCP131091 LMK131091:LML131091 LWG131091:LWH131091 MGC131091:MGD131091 MPY131091:MPZ131091 MZU131091:MZV131091 NJQ131091:NJR131091 NTM131091:NTN131091 ODI131091:ODJ131091 ONE131091:ONF131091 OXA131091:OXB131091 PGW131091:PGX131091 PQS131091:PQT131091 QAO131091:QAP131091 QKK131091:QKL131091 QUG131091:QUH131091 REC131091:RED131091 RNY131091:RNZ131091 RXU131091:RXV131091 SHQ131091:SHR131091 SRM131091:SRN131091 TBI131091:TBJ131091 TLE131091:TLF131091 TVA131091:TVB131091 UEW131091:UEX131091 UOS131091:UOT131091 UYO131091:UYP131091 VIK131091:VIL131091 VSG131091:VSH131091 WCC131091:WCD131091 WLY131091:WLZ131091 WVU131091:WVV131091 M196627:N196627 JI196627:JJ196627 TE196627:TF196627 ADA196627:ADB196627 AMW196627:AMX196627 AWS196627:AWT196627 BGO196627:BGP196627 BQK196627:BQL196627 CAG196627:CAH196627 CKC196627:CKD196627 CTY196627:CTZ196627 DDU196627:DDV196627 DNQ196627:DNR196627 DXM196627:DXN196627 EHI196627:EHJ196627 ERE196627:ERF196627 FBA196627:FBB196627 FKW196627:FKX196627 FUS196627:FUT196627 GEO196627:GEP196627 GOK196627:GOL196627 GYG196627:GYH196627 HIC196627:HID196627 HRY196627:HRZ196627 IBU196627:IBV196627 ILQ196627:ILR196627 IVM196627:IVN196627 JFI196627:JFJ196627 JPE196627:JPF196627 JZA196627:JZB196627 KIW196627:KIX196627 KSS196627:KST196627 LCO196627:LCP196627 LMK196627:LML196627 LWG196627:LWH196627 MGC196627:MGD196627 MPY196627:MPZ196627 MZU196627:MZV196627 NJQ196627:NJR196627 NTM196627:NTN196627 ODI196627:ODJ196627 ONE196627:ONF196627 OXA196627:OXB196627 PGW196627:PGX196627 PQS196627:PQT196627 QAO196627:QAP196627 QKK196627:QKL196627 QUG196627:QUH196627 REC196627:RED196627 RNY196627:RNZ196627 RXU196627:RXV196627 SHQ196627:SHR196627 SRM196627:SRN196627 TBI196627:TBJ196627 TLE196627:TLF196627 TVA196627:TVB196627 UEW196627:UEX196627 UOS196627:UOT196627 UYO196627:UYP196627 VIK196627:VIL196627 VSG196627:VSH196627 WCC196627:WCD196627 WLY196627:WLZ196627 WVU196627:WVV196627 M262163:N262163 JI262163:JJ262163 TE262163:TF262163 ADA262163:ADB262163 AMW262163:AMX262163 AWS262163:AWT262163 BGO262163:BGP262163 BQK262163:BQL262163 CAG262163:CAH262163 CKC262163:CKD262163 CTY262163:CTZ262163 DDU262163:DDV262163 DNQ262163:DNR262163 DXM262163:DXN262163 EHI262163:EHJ262163 ERE262163:ERF262163 FBA262163:FBB262163 FKW262163:FKX262163 FUS262163:FUT262163 GEO262163:GEP262163 GOK262163:GOL262163 GYG262163:GYH262163 HIC262163:HID262163 HRY262163:HRZ262163 IBU262163:IBV262163 ILQ262163:ILR262163 IVM262163:IVN262163 JFI262163:JFJ262163 JPE262163:JPF262163 JZA262163:JZB262163 KIW262163:KIX262163 KSS262163:KST262163 LCO262163:LCP262163 LMK262163:LML262163 LWG262163:LWH262163 MGC262163:MGD262163 MPY262163:MPZ262163 MZU262163:MZV262163 NJQ262163:NJR262163 NTM262163:NTN262163 ODI262163:ODJ262163 ONE262163:ONF262163 OXA262163:OXB262163 PGW262163:PGX262163 PQS262163:PQT262163 QAO262163:QAP262163 QKK262163:QKL262163 QUG262163:QUH262163 REC262163:RED262163 RNY262163:RNZ262163 RXU262163:RXV262163 SHQ262163:SHR262163 SRM262163:SRN262163 TBI262163:TBJ262163 TLE262163:TLF262163 TVA262163:TVB262163 UEW262163:UEX262163 UOS262163:UOT262163 UYO262163:UYP262163 VIK262163:VIL262163 VSG262163:VSH262163 WCC262163:WCD262163 WLY262163:WLZ262163 WVU262163:WVV262163 M327699:N327699 JI327699:JJ327699 TE327699:TF327699 ADA327699:ADB327699 AMW327699:AMX327699 AWS327699:AWT327699 BGO327699:BGP327699 BQK327699:BQL327699 CAG327699:CAH327699 CKC327699:CKD327699 CTY327699:CTZ327699 DDU327699:DDV327699 DNQ327699:DNR327699 DXM327699:DXN327699 EHI327699:EHJ327699 ERE327699:ERF327699 FBA327699:FBB327699 FKW327699:FKX327699 FUS327699:FUT327699 GEO327699:GEP327699 GOK327699:GOL327699 GYG327699:GYH327699 HIC327699:HID327699 HRY327699:HRZ327699 IBU327699:IBV327699 ILQ327699:ILR327699 IVM327699:IVN327699 JFI327699:JFJ327699 JPE327699:JPF327699 JZA327699:JZB327699 KIW327699:KIX327699 KSS327699:KST327699 LCO327699:LCP327699 LMK327699:LML327699 LWG327699:LWH327699 MGC327699:MGD327699 MPY327699:MPZ327699 MZU327699:MZV327699 NJQ327699:NJR327699 NTM327699:NTN327699 ODI327699:ODJ327699 ONE327699:ONF327699 OXA327699:OXB327699 PGW327699:PGX327699 PQS327699:PQT327699 QAO327699:QAP327699 QKK327699:QKL327699 QUG327699:QUH327699 REC327699:RED327699 RNY327699:RNZ327699 RXU327699:RXV327699 SHQ327699:SHR327699 SRM327699:SRN327699 TBI327699:TBJ327699 TLE327699:TLF327699 TVA327699:TVB327699 UEW327699:UEX327699 UOS327699:UOT327699 UYO327699:UYP327699 VIK327699:VIL327699 VSG327699:VSH327699 WCC327699:WCD327699 WLY327699:WLZ327699 WVU327699:WVV327699 M393235:N393235 JI393235:JJ393235 TE393235:TF393235 ADA393235:ADB393235 AMW393235:AMX393235 AWS393235:AWT393235 BGO393235:BGP393235 BQK393235:BQL393235 CAG393235:CAH393235 CKC393235:CKD393235 CTY393235:CTZ393235 DDU393235:DDV393235 DNQ393235:DNR393235 DXM393235:DXN393235 EHI393235:EHJ393235 ERE393235:ERF393235 FBA393235:FBB393235 FKW393235:FKX393235 FUS393235:FUT393235 GEO393235:GEP393235 GOK393235:GOL393235 GYG393235:GYH393235 HIC393235:HID393235 HRY393235:HRZ393235 IBU393235:IBV393235 ILQ393235:ILR393235 IVM393235:IVN393235 JFI393235:JFJ393235 JPE393235:JPF393235 JZA393235:JZB393235 KIW393235:KIX393235 KSS393235:KST393235 LCO393235:LCP393235 LMK393235:LML393235 LWG393235:LWH393235 MGC393235:MGD393235 MPY393235:MPZ393235 MZU393235:MZV393235 NJQ393235:NJR393235 NTM393235:NTN393235 ODI393235:ODJ393235 ONE393235:ONF393235 OXA393235:OXB393235 PGW393235:PGX393235 PQS393235:PQT393235 QAO393235:QAP393235 QKK393235:QKL393235 QUG393235:QUH393235 REC393235:RED393235 RNY393235:RNZ393235 RXU393235:RXV393235 SHQ393235:SHR393235 SRM393235:SRN393235 TBI393235:TBJ393235 TLE393235:TLF393235 TVA393235:TVB393235 UEW393235:UEX393235 UOS393235:UOT393235 UYO393235:UYP393235 VIK393235:VIL393235 VSG393235:VSH393235 WCC393235:WCD393235 WLY393235:WLZ393235 WVU393235:WVV393235 M458771:N458771 JI458771:JJ458771 TE458771:TF458771 ADA458771:ADB458771 AMW458771:AMX458771 AWS458771:AWT458771 BGO458771:BGP458771 BQK458771:BQL458771 CAG458771:CAH458771 CKC458771:CKD458771 CTY458771:CTZ458771 DDU458771:DDV458771 DNQ458771:DNR458771 DXM458771:DXN458771 EHI458771:EHJ458771 ERE458771:ERF458771 FBA458771:FBB458771 FKW458771:FKX458771 FUS458771:FUT458771 GEO458771:GEP458771 GOK458771:GOL458771 GYG458771:GYH458771 HIC458771:HID458771 HRY458771:HRZ458771 IBU458771:IBV458771 ILQ458771:ILR458771 IVM458771:IVN458771 JFI458771:JFJ458771 JPE458771:JPF458771 JZA458771:JZB458771 KIW458771:KIX458771 KSS458771:KST458771 LCO458771:LCP458771 LMK458771:LML458771 LWG458771:LWH458771 MGC458771:MGD458771 MPY458771:MPZ458771 MZU458771:MZV458771 NJQ458771:NJR458771 NTM458771:NTN458771 ODI458771:ODJ458771 ONE458771:ONF458771 OXA458771:OXB458771 PGW458771:PGX458771 PQS458771:PQT458771 QAO458771:QAP458771 QKK458771:QKL458771 QUG458771:QUH458771 REC458771:RED458771 RNY458771:RNZ458771 RXU458771:RXV458771 SHQ458771:SHR458771 SRM458771:SRN458771 TBI458771:TBJ458771 TLE458771:TLF458771 TVA458771:TVB458771 UEW458771:UEX458771 UOS458771:UOT458771 UYO458771:UYP458771 VIK458771:VIL458771 VSG458771:VSH458771 WCC458771:WCD458771 WLY458771:WLZ458771 WVU458771:WVV458771 M524307:N524307 JI524307:JJ524307 TE524307:TF524307 ADA524307:ADB524307 AMW524307:AMX524307 AWS524307:AWT524307 BGO524307:BGP524307 BQK524307:BQL524307 CAG524307:CAH524307 CKC524307:CKD524307 CTY524307:CTZ524307 DDU524307:DDV524307 DNQ524307:DNR524307 DXM524307:DXN524307 EHI524307:EHJ524307 ERE524307:ERF524307 FBA524307:FBB524307 FKW524307:FKX524307 FUS524307:FUT524307 GEO524307:GEP524307 GOK524307:GOL524307 GYG524307:GYH524307 HIC524307:HID524307 HRY524307:HRZ524307 IBU524307:IBV524307 ILQ524307:ILR524307 IVM524307:IVN524307 JFI524307:JFJ524307 JPE524307:JPF524307 JZA524307:JZB524307 KIW524307:KIX524307 KSS524307:KST524307 LCO524307:LCP524307 LMK524307:LML524307 LWG524307:LWH524307 MGC524307:MGD524307 MPY524307:MPZ524307 MZU524307:MZV524307 NJQ524307:NJR524307 NTM524307:NTN524307 ODI524307:ODJ524307 ONE524307:ONF524307 OXA524307:OXB524307 PGW524307:PGX524307 PQS524307:PQT524307 QAO524307:QAP524307 QKK524307:QKL524307 QUG524307:QUH524307 REC524307:RED524307 RNY524307:RNZ524307 RXU524307:RXV524307 SHQ524307:SHR524307 SRM524307:SRN524307 TBI524307:TBJ524307 TLE524307:TLF524307 TVA524307:TVB524307 UEW524307:UEX524307 UOS524307:UOT524307 UYO524307:UYP524307 VIK524307:VIL524307 VSG524307:VSH524307 WCC524307:WCD524307 WLY524307:WLZ524307 WVU524307:WVV524307 M589843:N589843 JI589843:JJ589843 TE589843:TF589843 ADA589843:ADB589843 AMW589843:AMX589843 AWS589843:AWT589843 BGO589843:BGP589843 BQK589843:BQL589843 CAG589843:CAH589843 CKC589843:CKD589843 CTY589843:CTZ589843 DDU589843:DDV589843 DNQ589843:DNR589843 DXM589843:DXN589843 EHI589843:EHJ589843 ERE589843:ERF589843 FBA589843:FBB589843 FKW589843:FKX589843 FUS589843:FUT589843 GEO589843:GEP589843 GOK589843:GOL589843 GYG589843:GYH589843 HIC589843:HID589843 HRY589843:HRZ589843 IBU589843:IBV589843 ILQ589843:ILR589843 IVM589843:IVN589843 JFI589843:JFJ589843 JPE589843:JPF589843 JZA589843:JZB589843 KIW589843:KIX589843 KSS589843:KST589843 LCO589843:LCP589843 LMK589843:LML589843 LWG589843:LWH589843 MGC589843:MGD589843 MPY589843:MPZ589843 MZU589843:MZV589843 NJQ589843:NJR589843 NTM589843:NTN589843 ODI589843:ODJ589843 ONE589843:ONF589843 OXA589843:OXB589843 PGW589843:PGX589843 PQS589843:PQT589843 QAO589843:QAP589843 QKK589843:QKL589843 QUG589843:QUH589843 REC589843:RED589843 RNY589843:RNZ589843 RXU589843:RXV589843 SHQ589843:SHR589843 SRM589843:SRN589843 TBI589843:TBJ589843 TLE589843:TLF589843 TVA589843:TVB589843 UEW589843:UEX589843 UOS589843:UOT589843 UYO589843:UYP589843 VIK589843:VIL589843 VSG589843:VSH589843 WCC589843:WCD589843 WLY589843:WLZ589843 WVU589843:WVV589843 M655379:N655379 JI655379:JJ655379 TE655379:TF655379 ADA655379:ADB655379 AMW655379:AMX655379 AWS655379:AWT655379 BGO655379:BGP655379 BQK655379:BQL655379 CAG655379:CAH655379 CKC655379:CKD655379 CTY655379:CTZ655379 DDU655379:DDV655379 DNQ655379:DNR655379 DXM655379:DXN655379 EHI655379:EHJ655379 ERE655379:ERF655379 FBA655379:FBB655379 FKW655379:FKX655379 FUS655379:FUT655379 GEO655379:GEP655379 GOK655379:GOL655379 GYG655379:GYH655379 HIC655379:HID655379 HRY655379:HRZ655379 IBU655379:IBV655379 ILQ655379:ILR655379 IVM655379:IVN655379 JFI655379:JFJ655379 JPE655379:JPF655379 JZA655379:JZB655379 KIW655379:KIX655379 KSS655379:KST655379 LCO655379:LCP655379 LMK655379:LML655379 LWG655379:LWH655379 MGC655379:MGD655379 MPY655379:MPZ655379 MZU655379:MZV655379 NJQ655379:NJR655379 NTM655379:NTN655379 ODI655379:ODJ655379 ONE655379:ONF655379 OXA655379:OXB655379 PGW655379:PGX655379 PQS655379:PQT655379 QAO655379:QAP655379 QKK655379:QKL655379 QUG655379:QUH655379 REC655379:RED655379 RNY655379:RNZ655379 RXU655379:RXV655379 SHQ655379:SHR655379 SRM655379:SRN655379 TBI655379:TBJ655379 TLE655379:TLF655379 TVA655379:TVB655379 UEW655379:UEX655379 UOS655379:UOT655379 UYO655379:UYP655379 VIK655379:VIL655379 VSG655379:VSH655379 WCC655379:WCD655379 WLY655379:WLZ655379 WVU655379:WVV655379 M720915:N720915 JI720915:JJ720915 TE720915:TF720915 ADA720915:ADB720915 AMW720915:AMX720915 AWS720915:AWT720915 BGO720915:BGP720915 BQK720915:BQL720915 CAG720915:CAH720915 CKC720915:CKD720915 CTY720915:CTZ720915 DDU720915:DDV720915 DNQ720915:DNR720915 DXM720915:DXN720915 EHI720915:EHJ720915 ERE720915:ERF720915 FBA720915:FBB720915 FKW720915:FKX720915 FUS720915:FUT720915 GEO720915:GEP720915 GOK720915:GOL720915 GYG720915:GYH720915 HIC720915:HID720915 HRY720915:HRZ720915 IBU720915:IBV720915 ILQ720915:ILR720915 IVM720915:IVN720915 JFI720915:JFJ720915 JPE720915:JPF720915 JZA720915:JZB720915 KIW720915:KIX720915 KSS720915:KST720915 LCO720915:LCP720915 LMK720915:LML720915 LWG720915:LWH720915 MGC720915:MGD720915 MPY720915:MPZ720915 MZU720915:MZV720915 NJQ720915:NJR720915 NTM720915:NTN720915 ODI720915:ODJ720915 ONE720915:ONF720915 OXA720915:OXB720915 PGW720915:PGX720915 PQS720915:PQT720915 QAO720915:QAP720915 QKK720915:QKL720915 QUG720915:QUH720915 REC720915:RED720915 RNY720915:RNZ720915 RXU720915:RXV720915 SHQ720915:SHR720915 SRM720915:SRN720915 TBI720915:TBJ720915 TLE720915:TLF720915 TVA720915:TVB720915 UEW720915:UEX720915 UOS720915:UOT720915 UYO720915:UYP720915 VIK720915:VIL720915 VSG720915:VSH720915 WCC720915:WCD720915 WLY720915:WLZ720915 WVU720915:WVV720915 M786451:N786451 JI786451:JJ786451 TE786451:TF786451 ADA786451:ADB786451 AMW786451:AMX786451 AWS786451:AWT786451 BGO786451:BGP786451 BQK786451:BQL786451 CAG786451:CAH786451 CKC786451:CKD786451 CTY786451:CTZ786451 DDU786451:DDV786451 DNQ786451:DNR786451 DXM786451:DXN786451 EHI786451:EHJ786451 ERE786451:ERF786451 FBA786451:FBB786451 FKW786451:FKX786451 FUS786451:FUT786451 GEO786451:GEP786451 GOK786451:GOL786451 GYG786451:GYH786451 HIC786451:HID786451 HRY786451:HRZ786451 IBU786451:IBV786451 ILQ786451:ILR786451 IVM786451:IVN786451 JFI786451:JFJ786451 JPE786451:JPF786451 JZA786451:JZB786451 KIW786451:KIX786451 KSS786451:KST786451 LCO786451:LCP786451 LMK786451:LML786451 LWG786451:LWH786451 MGC786451:MGD786451 MPY786451:MPZ786451 MZU786451:MZV786451 NJQ786451:NJR786451 NTM786451:NTN786451 ODI786451:ODJ786451 ONE786451:ONF786451 OXA786451:OXB786451 PGW786451:PGX786451 PQS786451:PQT786451 QAO786451:QAP786451 QKK786451:QKL786451 QUG786451:QUH786451 REC786451:RED786451 RNY786451:RNZ786451 RXU786451:RXV786451 SHQ786451:SHR786451 SRM786451:SRN786451 TBI786451:TBJ786451 TLE786451:TLF786451 TVA786451:TVB786451 UEW786451:UEX786451 UOS786451:UOT786451 UYO786451:UYP786451 VIK786451:VIL786451 VSG786451:VSH786451 WCC786451:WCD786451 WLY786451:WLZ786451 WVU786451:WVV786451 M851987:N851987 JI851987:JJ851987 TE851987:TF851987 ADA851987:ADB851987 AMW851987:AMX851987 AWS851987:AWT851987 BGO851987:BGP851987 BQK851987:BQL851987 CAG851987:CAH851987 CKC851987:CKD851987 CTY851987:CTZ851987 DDU851987:DDV851987 DNQ851987:DNR851987 DXM851987:DXN851987 EHI851987:EHJ851987 ERE851987:ERF851987 FBA851987:FBB851987 FKW851987:FKX851987 FUS851987:FUT851987 GEO851987:GEP851987 GOK851987:GOL851987 GYG851987:GYH851987 HIC851987:HID851987 HRY851987:HRZ851987 IBU851987:IBV851987 ILQ851987:ILR851987 IVM851987:IVN851987 JFI851987:JFJ851987 JPE851987:JPF851987 JZA851987:JZB851987 KIW851987:KIX851987 KSS851987:KST851987 LCO851987:LCP851987 LMK851987:LML851987 LWG851987:LWH851987 MGC851987:MGD851987 MPY851987:MPZ851987 MZU851987:MZV851987 NJQ851987:NJR851987 NTM851987:NTN851987 ODI851987:ODJ851987 ONE851987:ONF851987 OXA851987:OXB851987 PGW851987:PGX851987 PQS851987:PQT851987 QAO851987:QAP851987 QKK851987:QKL851987 QUG851987:QUH851987 REC851987:RED851987 RNY851987:RNZ851987 RXU851987:RXV851987 SHQ851987:SHR851987 SRM851987:SRN851987 TBI851987:TBJ851987 TLE851987:TLF851987 TVA851987:TVB851987 UEW851987:UEX851987 UOS851987:UOT851987 UYO851987:UYP851987 VIK851987:VIL851987 VSG851987:VSH851987 WCC851987:WCD851987 WLY851987:WLZ851987 WVU851987:WVV851987 M917523:N917523 JI917523:JJ917523 TE917523:TF917523 ADA917523:ADB917523 AMW917523:AMX917523 AWS917523:AWT917523 BGO917523:BGP917523 BQK917523:BQL917523 CAG917523:CAH917523 CKC917523:CKD917523 CTY917523:CTZ917523 DDU917523:DDV917523 DNQ917523:DNR917523 DXM917523:DXN917523 EHI917523:EHJ917523 ERE917523:ERF917523 FBA917523:FBB917523 FKW917523:FKX917523 FUS917523:FUT917523 GEO917523:GEP917523 GOK917523:GOL917523 GYG917523:GYH917523 HIC917523:HID917523 HRY917523:HRZ917523 IBU917523:IBV917523 ILQ917523:ILR917523 IVM917523:IVN917523 JFI917523:JFJ917523 JPE917523:JPF917523 JZA917523:JZB917523 KIW917523:KIX917523 KSS917523:KST917523 LCO917523:LCP917523 LMK917523:LML917523 LWG917523:LWH917523 MGC917523:MGD917523 MPY917523:MPZ917523 MZU917523:MZV917523 NJQ917523:NJR917523 NTM917523:NTN917523 ODI917523:ODJ917523 ONE917523:ONF917523 OXA917523:OXB917523 PGW917523:PGX917523 PQS917523:PQT917523 QAO917523:QAP917523 QKK917523:QKL917523 QUG917523:QUH917523 REC917523:RED917523 RNY917523:RNZ917523 RXU917523:RXV917523 SHQ917523:SHR917523 SRM917523:SRN917523 TBI917523:TBJ917523 TLE917523:TLF917523 TVA917523:TVB917523 UEW917523:UEX917523 UOS917523:UOT917523 UYO917523:UYP917523 VIK917523:VIL917523 VSG917523:VSH917523 WCC917523:WCD917523 WLY917523:WLZ917523 WVU917523:WVV917523 M983059:N983059 JI983059:JJ983059 TE983059:TF983059 ADA983059:ADB983059 AMW983059:AMX983059 AWS983059:AWT983059 BGO983059:BGP983059 BQK983059:BQL983059 CAG983059:CAH983059 CKC983059:CKD983059 CTY983059:CTZ983059 DDU983059:DDV983059 DNQ983059:DNR983059 DXM983059:DXN983059 EHI983059:EHJ983059 ERE983059:ERF983059 FBA983059:FBB983059 FKW983059:FKX983059 FUS983059:FUT983059 GEO983059:GEP983059 GOK983059:GOL983059 GYG983059:GYH983059 HIC983059:HID983059 HRY983059:HRZ983059 IBU983059:IBV983059 ILQ983059:ILR983059 IVM983059:IVN983059 JFI983059:JFJ983059 JPE983059:JPF983059 JZA983059:JZB983059 KIW983059:KIX983059 KSS983059:KST983059 LCO983059:LCP983059 LMK983059:LML983059 LWG983059:LWH983059 MGC983059:MGD983059 MPY983059:MPZ983059 MZU983059:MZV983059 NJQ983059:NJR983059 NTM983059:NTN983059 ODI983059:ODJ983059 ONE983059:ONF983059 OXA983059:OXB983059 PGW983059:PGX983059 PQS983059:PQT983059 QAO983059:QAP983059 QKK983059:QKL983059 QUG983059:QUH983059 REC983059:RED983059 RNY983059:RNZ983059 RXU983059:RXV983059 SHQ983059:SHR983059 SRM983059:SRN983059 TBI983059:TBJ983059 TLE983059:TLF983059 TVA983059:TVB983059 UEW983059:UEX983059 UOS983059:UOT983059 UYO983059:UYP983059 VIK983059:VIL983059 VSG983059:VSH983059 WCC983059:WCD983059">
      <formula1>0</formula1>
      <formula2>28</formula2>
    </dataValidation>
    <dataValidation type="textLength" allowBlank="1" showInputMessage="1" showErrorMessage="1" errorTitle="Not editable" error="This field cannot be edited" sqref="O26:S26 JK26:JO26 TG26:TK26 ADC26:ADG26 AMY26:ANC26 AWU26:AWY26 BGQ26:BGU26 BQM26:BQQ26 CAI26:CAM26 CKE26:CKI26 CUA26:CUE26 DDW26:DEA26 DNS26:DNW26 DXO26:DXS26 EHK26:EHO26 ERG26:ERK26 FBC26:FBG26 FKY26:FLC26 FUU26:FUY26 GEQ26:GEU26 GOM26:GOQ26 GYI26:GYM26 HIE26:HII26 HSA26:HSE26 IBW26:ICA26 ILS26:ILW26 IVO26:IVS26 JFK26:JFO26 JPG26:JPK26 JZC26:JZG26 KIY26:KJC26 KSU26:KSY26 LCQ26:LCU26 LMM26:LMQ26 LWI26:LWM26 MGE26:MGI26 MQA26:MQE26 MZW26:NAA26 NJS26:NJW26 NTO26:NTS26 ODK26:ODO26 ONG26:ONK26 OXC26:OXG26 PGY26:PHC26 PQU26:PQY26 QAQ26:QAU26 QKM26:QKQ26 QUI26:QUM26 REE26:REI26 ROA26:ROE26 RXW26:RYA26 SHS26:SHW26 SRO26:SRS26 TBK26:TBO26 TLG26:TLK26 TVC26:TVG26 UEY26:UFC26 UOU26:UOY26 UYQ26:UYU26 VIM26:VIQ26 VSI26:VSM26 WCE26:WCI26 WMA26:WME26 WVW26:WWA26 O65555:S65555 JK65555:JO65555 TG65555:TK65555 ADC65555:ADG65555 AMY65555:ANC65555 AWU65555:AWY65555 BGQ65555:BGU65555 BQM65555:BQQ65555 CAI65555:CAM65555 CKE65555:CKI65555 CUA65555:CUE65555 DDW65555:DEA65555 DNS65555:DNW65555 DXO65555:DXS65555 EHK65555:EHO65555 ERG65555:ERK65555 FBC65555:FBG65555 FKY65555:FLC65555 FUU65555:FUY65555 GEQ65555:GEU65555 GOM65555:GOQ65555 GYI65555:GYM65555 HIE65555:HII65555 HSA65555:HSE65555 IBW65555:ICA65555 ILS65555:ILW65555 IVO65555:IVS65555 JFK65555:JFO65555 JPG65555:JPK65555 JZC65555:JZG65555 KIY65555:KJC65555 KSU65555:KSY65555 LCQ65555:LCU65555 LMM65555:LMQ65555 LWI65555:LWM65555 MGE65555:MGI65555 MQA65555:MQE65555 MZW65555:NAA65555 NJS65555:NJW65555 NTO65555:NTS65555 ODK65555:ODO65555 ONG65555:ONK65555 OXC65555:OXG65555 PGY65555:PHC65555 PQU65555:PQY65555 QAQ65555:QAU65555 QKM65555:QKQ65555 QUI65555:QUM65555 REE65555:REI65555 ROA65555:ROE65555 RXW65555:RYA65555 SHS65555:SHW65555 SRO65555:SRS65555 TBK65555:TBO65555 TLG65555:TLK65555 TVC65555:TVG65555 UEY65555:UFC65555 UOU65555:UOY65555 UYQ65555:UYU65555 VIM65555:VIQ65555 VSI65555:VSM65555 WCE65555:WCI65555 WMA65555:WME65555 WVW65555:WWA65555 O131091:S131091 JK131091:JO131091 TG131091:TK131091 ADC131091:ADG131091 AMY131091:ANC131091 AWU131091:AWY131091 BGQ131091:BGU131091 BQM131091:BQQ131091 CAI131091:CAM131091 CKE131091:CKI131091 CUA131091:CUE131091 DDW131091:DEA131091 DNS131091:DNW131091 DXO131091:DXS131091 EHK131091:EHO131091 ERG131091:ERK131091 FBC131091:FBG131091 FKY131091:FLC131091 FUU131091:FUY131091 GEQ131091:GEU131091 GOM131091:GOQ131091 GYI131091:GYM131091 HIE131091:HII131091 HSA131091:HSE131091 IBW131091:ICA131091 ILS131091:ILW131091 IVO131091:IVS131091 JFK131091:JFO131091 JPG131091:JPK131091 JZC131091:JZG131091 KIY131091:KJC131091 KSU131091:KSY131091 LCQ131091:LCU131091 LMM131091:LMQ131091 LWI131091:LWM131091 MGE131091:MGI131091 MQA131091:MQE131091 MZW131091:NAA131091 NJS131091:NJW131091 NTO131091:NTS131091 ODK131091:ODO131091 ONG131091:ONK131091 OXC131091:OXG131091 PGY131091:PHC131091 PQU131091:PQY131091 QAQ131091:QAU131091 QKM131091:QKQ131091 QUI131091:QUM131091 REE131091:REI131091 ROA131091:ROE131091 RXW131091:RYA131091 SHS131091:SHW131091 SRO131091:SRS131091 TBK131091:TBO131091 TLG131091:TLK131091 TVC131091:TVG131091 UEY131091:UFC131091 UOU131091:UOY131091 UYQ131091:UYU131091 VIM131091:VIQ131091 VSI131091:VSM131091 WCE131091:WCI131091 WMA131091:WME131091 WVW131091:WWA131091 O196627:S196627 JK196627:JO196627 TG196627:TK196627 ADC196627:ADG196627 AMY196627:ANC196627 AWU196627:AWY196627 BGQ196627:BGU196627 BQM196627:BQQ196627 CAI196627:CAM196627 CKE196627:CKI196627 CUA196627:CUE196627 DDW196627:DEA196627 DNS196627:DNW196627 DXO196627:DXS196627 EHK196627:EHO196627 ERG196627:ERK196627 FBC196627:FBG196627 FKY196627:FLC196627 FUU196627:FUY196627 GEQ196627:GEU196627 GOM196627:GOQ196627 GYI196627:GYM196627 HIE196627:HII196627 HSA196627:HSE196627 IBW196627:ICA196627 ILS196627:ILW196627 IVO196627:IVS196627 JFK196627:JFO196627 JPG196627:JPK196627 JZC196627:JZG196627 KIY196627:KJC196627 KSU196627:KSY196627 LCQ196627:LCU196627 LMM196627:LMQ196627 LWI196627:LWM196627 MGE196627:MGI196627 MQA196627:MQE196627 MZW196627:NAA196627 NJS196627:NJW196627 NTO196627:NTS196627 ODK196627:ODO196627 ONG196627:ONK196627 OXC196627:OXG196627 PGY196627:PHC196627 PQU196627:PQY196627 QAQ196627:QAU196627 QKM196627:QKQ196627 QUI196627:QUM196627 REE196627:REI196627 ROA196627:ROE196627 RXW196627:RYA196627 SHS196627:SHW196627 SRO196627:SRS196627 TBK196627:TBO196627 TLG196627:TLK196627 TVC196627:TVG196627 UEY196627:UFC196627 UOU196627:UOY196627 UYQ196627:UYU196627 VIM196627:VIQ196627 VSI196627:VSM196627 WCE196627:WCI196627 WMA196627:WME196627 WVW196627:WWA196627 O262163:S262163 JK262163:JO262163 TG262163:TK262163 ADC262163:ADG262163 AMY262163:ANC262163 AWU262163:AWY262163 BGQ262163:BGU262163 BQM262163:BQQ262163 CAI262163:CAM262163 CKE262163:CKI262163 CUA262163:CUE262163 DDW262163:DEA262163 DNS262163:DNW262163 DXO262163:DXS262163 EHK262163:EHO262163 ERG262163:ERK262163 FBC262163:FBG262163 FKY262163:FLC262163 FUU262163:FUY262163 GEQ262163:GEU262163 GOM262163:GOQ262163 GYI262163:GYM262163 HIE262163:HII262163 HSA262163:HSE262163 IBW262163:ICA262163 ILS262163:ILW262163 IVO262163:IVS262163 JFK262163:JFO262163 JPG262163:JPK262163 JZC262163:JZG262163 KIY262163:KJC262163 KSU262163:KSY262163 LCQ262163:LCU262163 LMM262163:LMQ262163 LWI262163:LWM262163 MGE262163:MGI262163 MQA262163:MQE262163 MZW262163:NAA262163 NJS262163:NJW262163 NTO262163:NTS262163 ODK262163:ODO262163 ONG262163:ONK262163 OXC262163:OXG262163 PGY262163:PHC262163 PQU262163:PQY262163 QAQ262163:QAU262163 QKM262163:QKQ262163 QUI262163:QUM262163 REE262163:REI262163 ROA262163:ROE262163 RXW262163:RYA262163 SHS262163:SHW262163 SRO262163:SRS262163 TBK262163:TBO262163 TLG262163:TLK262163 TVC262163:TVG262163 UEY262163:UFC262163 UOU262163:UOY262163 UYQ262163:UYU262163 VIM262163:VIQ262163 VSI262163:VSM262163 WCE262163:WCI262163 WMA262163:WME262163 WVW262163:WWA262163 O327699:S327699 JK327699:JO327699 TG327699:TK327699 ADC327699:ADG327699 AMY327699:ANC327699 AWU327699:AWY327699 BGQ327699:BGU327699 BQM327699:BQQ327699 CAI327699:CAM327699 CKE327699:CKI327699 CUA327699:CUE327699 DDW327699:DEA327699 DNS327699:DNW327699 DXO327699:DXS327699 EHK327699:EHO327699 ERG327699:ERK327699 FBC327699:FBG327699 FKY327699:FLC327699 FUU327699:FUY327699 GEQ327699:GEU327699 GOM327699:GOQ327699 GYI327699:GYM327699 HIE327699:HII327699 HSA327699:HSE327699 IBW327699:ICA327699 ILS327699:ILW327699 IVO327699:IVS327699 JFK327699:JFO327699 JPG327699:JPK327699 JZC327699:JZG327699 KIY327699:KJC327699 KSU327699:KSY327699 LCQ327699:LCU327699 LMM327699:LMQ327699 LWI327699:LWM327699 MGE327699:MGI327699 MQA327699:MQE327699 MZW327699:NAA327699 NJS327699:NJW327699 NTO327699:NTS327699 ODK327699:ODO327699 ONG327699:ONK327699 OXC327699:OXG327699 PGY327699:PHC327699 PQU327699:PQY327699 QAQ327699:QAU327699 QKM327699:QKQ327699 QUI327699:QUM327699 REE327699:REI327699 ROA327699:ROE327699 RXW327699:RYA327699 SHS327699:SHW327699 SRO327699:SRS327699 TBK327699:TBO327699 TLG327699:TLK327699 TVC327699:TVG327699 UEY327699:UFC327699 UOU327699:UOY327699 UYQ327699:UYU327699 VIM327699:VIQ327699 VSI327699:VSM327699 WCE327699:WCI327699 WMA327699:WME327699 WVW327699:WWA327699 O393235:S393235 JK393235:JO393235 TG393235:TK393235 ADC393235:ADG393235 AMY393235:ANC393235 AWU393235:AWY393235 BGQ393235:BGU393235 BQM393235:BQQ393235 CAI393235:CAM393235 CKE393235:CKI393235 CUA393235:CUE393235 DDW393235:DEA393235 DNS393235:DNW393235 DXO393235:DXS393235 EHK393235:EHO393235 ERG393235:ERK393235 FBC393235:FBG393235 FKY393235:FLC393235 FUU393235:FUY393235 GEQ393235:GEU393235 GOM393235:GOQ393235 GYI393235:GYM393235 HIE393235:HII393235 HSA393235:HSE393235 IBW393235:ICA393235 ILS393235:ILW393235 IVO393235:IVS393235 JFK393235:JFO393235 JPG393235:JPK393235 JZC393235:JZG393235 KIY393235:KJC393235 KSU393235:KSY393235 LCQ393235:LCU393235 LMM393235:LMQ393235 LWI393235:LWM393235 MGE393235:MGI393235 MQA393235:MQE393235 MZW393235:NAA393235 NJS393235:NJW393235 NTO393235:NTS393235 ODK393235:ODO393235 ONG393235:ONK393235 OXC393235:OXG393235 PGY393235:PHC393235 PQU393235:PQY393235 QAQ393235:QAU393235 QKM393235:QKQ393235 QUI393235:QUM393235 REE393235:REI393235 ROA393235:ROE393235 RXW393235:RYA393235 SHS393235:SHW393235 SRO393235:SRS393235 TBK393235:TBO393235 TLG393235:TLK393235 TVC393235:TVG393235 UEY393235:UFC393235 UOU393235:UOY393235 UYQ393235:UYU393235 VIM393235:VIQ393235 VSI393235:VSM393235 WCE393235:WCI393235 WMA393235:WME393235 WVW393235:WWA393235 O458771:S458771 JK458771:JO458771 TG458771:TK458771 ADC458771:ADG458771 AMY458771:ANC458771 AWU458771:AWY458771 BGQ458771:BGU458771 BQM458771:BQQ458771 CAI458771:CAM458771 CKE458771:CKI458771 CUA458771:CUE458771 DDW458771:DEA458771 DNS458771:DNW458771 DXO458771:DXS458771 EHK458771:EHO458771 ERG458771:ERK458771 FBC458771:FBG458771 FKY458771:FLC458771 FUU458771:FUY458771 GEQ458771:GEU458771 GOM458771:GOQ458771 GYI458771:GYM458771 HIE458771:HII458771 HSA458771:HSE458771 IBW458771:ICA458771 ILS458771:ILW458771 IVO458771:IVS458771 JFK458771:JFO458771 JPG458771:JPK458771 JZC458771:JZG458771 KIY458771:KJC458771 KSU458771:KSY458771 LCQ458771:LCU458771 LMM458771:LMQ458771 LWI458771:LWM458771 MGE458771:MGI458771 MQA458771:MQE458771 MZW458771:NAA458771 NJS458771:NJW458771 NTO458771:NTS458771 ODK458771:ODO458771 ONG458771:ONK458771 OXC458771:OXG458771 PGY458771:PHC458771 PQU458771:PQY458771 QAQ458771:QAU458771 QKM458771:QKQ458771 QUI458771:QUM458771 REE458771:REI458771 ROA458771:ROE458771 RXW458771:RYA458771 SHS458771:SHW458771 SRO458771:SRS458771 TBK458771:TBO458771 TLG458771:TLK458771 TVC458771:TVG458771 UEY458771:UFC458771 UOU458771:UOY458771 UYQ458771:UYU458771 VIM458771:VIQ458771 VSI458771:VSM458771 WCE458771:WCI458771 WMA458771:WME458771 WVW458771:WWA458771 O524307:S524307 JK524307:JO524307 TG524307:TK524307 ADC524307:ADG524307 AMY524307:ANC524307 AWU524307:AWY524307 BGQ524307:BGU524307 BQM524307:BQQ524307 CAI524307:CAM524307 CKE524307:CKI524307 CUA524307:CUE524307 DDW524307:DEA524307 DNS524307:DNW524307 DXO524307:DXS524307 EHK524307:EHO524307 ERG524307:ERK524307 FBC524307:FBG524307 FKY524307:FLC524307 FUU524307:FUY524307 GEQ524307:GEU524307 GOM524307:GOQ524307 GYI524307:GYM524307 HIE524307:HII524307 HSA524307:HSE524307 IBW524307:ICA524307 ILS524307:ILW524307 IVO524307:IVS524307 JFK524307:JFO524307 JPG524307:JPK524307 JZC524307:JZG524307 KIY524307:KJC524307 KSU524307:KSY524307 LCQ524307:LCU524307 LMM524307:LMQ524307 LWI524307:LWM524307 MGE524307:MGI524307 MQA524307:MQE524307 MZW524307:NAA524307 NJS524307:NJW524307 NTO524307:NTS524307 ODK524307:ODO524307 ONG524307:ONK524307 OXC524307:OXG524307 PGY524307:PHC524307 PQU524307:PQY524307 QAQ524307:QAU524307 QKM524307:QKQ524307 QUI524307:QUM524307 REE524307:REI524307 ROA524307:ROE524307 RXW524307:RYA524307 SHS524307:SHW524307 SRO524307:SRS524307 TBK524307:TBO524307 TLG524307:TLK524307 TVC524307:TVG524307 UEY524307:UFC524307 UOU524307:UOY524307 UYQ524307:UYU524307 VIM524307:VIQ524307 VSI524307:VSM524307 WCE524307:WCI524307 WMA524307:WME524307 WVW524307:WWA524307 O589843:S589843 JK589843:JO589843 TG589843:TK589843 ADC589843:ADG589843 AMY589843:ANC589843 AWU589843:AWY589843 BGQ589843:BGU589843 BQM589843:BQQ589843 CAI589843:CAM589843 CKE589843:CKI589843 CUA589843:CUE589843 DDW589843:DEA589843 DNS589843:DNW589843 DXO589843:DXS589843 EHK589843:EHO589843 ERG589843:ERK589843 FBC589843:FBG589843 FKY589843:FLC589843 FUU589843:FUY589843 GEQ589843:GEU589843 GOM589843:GOQ589843 GYI589843:GYM589843 HIE589843:HII589843 HSA589843:HSE589843 IBW589843:ICA589843 ILS589843:ILW589843 IVO589843:IVS589843 JFK589843:JFO589843 JPG589843:JPK589843 JZC589843:JZG589843 KIY589843:KJC589843 KSU589843:KSY589843 LCQ589843:LCU589843 LMM589843:LMQ589843 LWI589843:LWM589843 MGE589843:MGI589843 MQA589843:MQE589843 MZW589843:NAA589843 NJS589843:NJW589843 NTO589843:NTS589843 ODK589843:ODO589843 ONG589843:ONK589843 OXC589843:OXG589843 PGY589843:PHC589843 PQU589843:PQY589843 QAQ589843:QAU589843 QKM589843:QKQ589843 QUI589843:QUM589843 REE589843:REI589843 ROA589843:ROE589843 RXW589843:RYA589843 SHS589843:SHW589843 SRO589843:SRS589843 TBK589843:TBO589843 TLG589843:TLK589843 TVC589843:TVG589843 UEY589843:UFC589843 UOU589843:UOY589843 UYQ589843:UYU589843 VIM589843:VIQ589843 VSI589843:VSM589843 WCE589843:WCI589843 WMA589843:WME589843 WVW589843:WWA589843 O655379:S655379 JK655379:JO655379 TG655379:TK655379 ADC655379:ADG655379 AMY655379:ANC655379 AWU655379:AWY655379 BGQ655379:BGU655379 BQM655379:BQQ655379 CAI655379:CAM655379 CKE655379:CKI655379 CUA655379:CUE655379 DDW655379:DEA655379 DNS655379:DNW655379 DXO655379:DXS655379 EHK655379:EHO655379 ERG655379:ERK655379 FBC655379:FBG655379 FKY655379:FLC655379 FUU655379:FUY655379 GEQ655379:GEU655379 GOM655379:GOQ655379 GYI655379:GYM655379 HIE655379:HII655379 HSA655379:HSE655379 IBW655379:ICA655379 ILS655379:ILW655379 IVO655379:IVS655379 JFK655379:JFO655379 JPG655379:JPK655379 JZC655379:JZG655379 KIY655379:KJC655379 KSU655379:KSY655379 LCQ655379:LCU655379 LMM655379:LMQ655379 LWI655379:LWM655379 MGE655379:MGI655379 MQA655379:MQE655379 MZW655379:NAA655379 NJS655379:NJW655379 NTO655379:NTS655379 ODK655379:ODO655379 ONG655379:ONK655379 OXC655379:OXG655379 PGY655379:PHC655379 PQU655379:PQY655379 QAQ655379:QAU655379 QKM655379:QKQ655379 QUI655379:QUM655379 REE655379:REI655379 ROA655379:ROE655379 RXW655379:RYA655379 SHS655379:SHW655379 SRO655379:SRS655379 TBK655379:TBO655379 TLG655379:TLK655379 TVC655379:TVG655379 UEY655379:UFC655379 UOU655379:UOY655379 UYQ655379:UYU655379 VIM655379:VIQ655379 VSI655379:VSM655379 WCE655379:WCI655379 WMA655379:WME655379 WVW655379:WWA655379 O720915:S720915 JK720915:JO720915 TG720915:TK720915 ADC720915:ADG720915 AMY720915:ANC720915 AWU720915:AWY720915 BGQ720915:BGU720915 BQM720915:BQQ720915 CAI720915:CAM720915 CKE720915:CKI720915 CUA720915:CUE720915 DDW720915:DEA720915 DNS720915:DNW720915 DXO720915:DXS720915 EHK720915:EHO720915 ERG720915:ERK720915 FBC720915:FBG720915 FKY720915:FLC720915 FUU720915:FUY720915 GEQ720915:GEU720915 GOM720915:GOQ720915 GYI720915:GYM720915 HIE720915:HII720915 HSA720915:HSE720915 IBW720915:ICA720915 ILS720915:ILW720915 IVO720915:IVS720915 JFK720915:JFO720915 JPG720915:JPK720915 JZC720915:JZG720915 KIY720915:KJC720915 KSU720915:KSY720915 LCQ720915:LCU720915 LMM720915:LMQ720915 LWI720915:LWM720915 MGE720915:MGI720915 MQA720915:MQE720915 MZW720915:NAA720915 NJS720915:NJW720915 NTO720915:NTS720915 ODK720915:ODO720915 ONG720915:ONK720915 OXC720915:OXG720915 PGY720915:PHC720915 PQU720915:PQY720915 QAQ720915:QAU720915 QKM720915:QKQ720915 QUI720915:QUM720915 REE720915:REI720915 ROA720915:ROE720915 RXW720915:RYA720915 SHS720915:SHW720915 SRO720915:SRS720915 TBK720915:TBO720915 TLG720915:TLK720915 TVC720915:TVG720915 UEY720915:UFC720915 UOU720915:UOY720915 UYQ720915:UYU720915 VIM720915:VIQ720915 VSI720915:VSM720915 WCE720915:WCI720915 WMA720915:WME720915 WVW720915:WWA720915 O786451:S786451 JK786451:JO786451 TG786451:TK786451 ADC786451:ADG786451 AMY786451:ANC786451 AWU786451:AWY786451 BGQ786451:BGU786451 BQM786451:BQQ786451 CAI786451:CAM786451 CKE786451:CKI786451 CUA786451:CUE786451 DDW786451:DEA786451 DNS786451:DNW786451 DXO786451:DXS786451 EHK786451:EHO786451 ERG786451:ERK786451 FBC786451:FBG786451 FKY786451:FLC786451 FUU786451:FUY786451 GEQ786451:GEU786451 GOM786451:GOQ786451 GYI786451:GYM786451 HIE786451:HII786451 HSA786451:HSE786451 IBW786451:ICA786451 ILS786451:ILW786451 IVO786451:IVS786451 JFK786451:JFO786451 JPG786451:JPK786451 JZC786451:JZG786451 KIY786451:KJC786451 KSU786451:KSY786451 LCQ786451:LCU786451 LMM786451:LMQ786451 LWI786451:LWM786451 MGE786451:MGI786451 MQA786451:MQE786451 MZW786451:NAA786451 NJS786451:NJW786451 NTO786451:NTS786451 ODK786451:ODO786451 ONG786451:ONK786451 OXC786451:OXG786451 PGY786451:PHC786451 PQU786451:PQY786451 QAQ786451:QAU786451 QKM786451:QKQ786451 QUI786451:QUM786451 REE786451:REI786451 ROA786451:ROE786451 RXW786451:RYA786451 SHS786451:SHW786451 SRO786451:SRS786451 TBK786451:TBO786451 TLG786451:TLK786451 TVC786451:TVG786451 UEY786451:UFC786451 UOU786451:UOY786451 UYQ786451:UYU786451 VIM786451:VIQ786451 VSI786451:VSM786451 WCE786451:WCI786451 WMA786451:WME786451 WVW786451:WWA786451 O851987:S851987 JK851987:JO851987 TG851987:TK851987 ADC851987:ADG851987 AMY851987:ANC851987 AWU851987:AWY851987 BGQ851987:BGU851987 BQM851987:BQQ851987 CAI851987:CAM851987 CKE851987:CKI851987 CUA851987:CUE851987 DDW851987:DEA851987 DNS851987:DNW851987 DXO851987:DXS851987 EHK851987:EHO851987 ERG851987:ERK851987 FBC851987:FBG851987 FKY851987:FLC851987 FUU851987:FUY851987 GEQ851987:GEU851987 GOM851987:GOQ851987 GYI851987:GYM851987 HIE851987:HII851987 HSA851987:HSE851987 IBW851987:ICA851987 ILS851987:ILW851987 IVO851987:IVS851987 JFK851987:JFO851987 JPG851987:JPK851987 JZC851987:JZG851987 KIY851987:KJC851987 KSU851987:KSY851987 LCQ851987:LCU851987 LMM851987:LMQ851987 LWI851987:LWM851987 MGE851987:MGI851987 MQA851987:MQE851987 MZW851987:NAA851987 NJS851987:NJW851987 NTO851987:NTS851987 ODK851987:ODO851987 ONG851987:ONK851987 OXC851987:OXG851987 PGY851987:PHC851987 PQU851987:PQY851987 QAQ851987:QAU851987 QKM851987:QKQ851987 QUI851987:QUM851987 REE851987:REI851987 ROA851987:ROE851987 RXW851987:RYA851987 SHS851987:SHW851987 SRO851987:SRS851987 TBK851987:TBO851987 TLG851987:TLK851987 TVC851987:TVG851987 UEY851987:UFC851987 UOU851987:UOY851987 UYQ851987:UYU851987 VIM851987:VIQ851987 VSI851987:VSM851987 WCE851987:WCI851987 WMA851987:WME851987 WVW851987:WWA851987 O917523:S917523 JK917523:JO917523 TG917523:TK917523 ADC917523:ADG917523 AMY917523:ANC917523 AWU917523:AWY917523 BGQ917523:BGU917523 BQM917523:BQQ917523 CAI917523:CAM917523 CKE917523:CKI917523 CUA917523:CUE917523 DDW917523:DEA917523 DNS917523:DNW917523 DXO917523:DXS917523 EHK917523:EHO917523 ERG917523:ERK917523 FBC917523:FBG917523 FKY917523:FLC917523 FUU917523:FUY917523 GEQ917523:GEU917523 GOM917523:GOQ917523 GYI917523:GYM917523 HIE917523:HII917523 HSA917523:HSE917523 IBW917523:ICA917523 ILS917523:ILW917523 IVO917523:IVS917523 JFK917523:JFO917523 JPG917523:JPK917523 JZC917523:JZG917523 KIY917523:KJC917523 KSU917523:KSY917523 LCQ917523:LCU917523 LMM917523:LMQ917523 LWI917523:LWM917523 MGE917523:MGI917523 MQA917523:MQE917523 MZW917523:NAA917523 NJS917523:NJW917523 NTO917523:NTS917523 ODK917523:ODO917523 ONG917523:ONK917523 OXC917523:OXG917523 PGY917523:PHC917523 PQU917523:PQY917523 QAQ917523:QAU917523 QKM917523:QKQ917523 QUI917523:QUM917523 REE917523:REI917523 ROA917523:ROE917523 RXW917523:RYA917523 SHS917523:SHW917523 SRO917523:SRS917523 TBK917523:TBO917523 TLG917523:TLK917523 TVC917523:TVG917523 UEY917523:UFC917523 UOU917523:UOY917523 UYQ917523:UYU917523 VIM917523:VIQ917523 VSI917523:VSM917523 WCE917523:WCI917523 WMA917523:WME917523 WVW917523:WWA917523 O983059:S983059 JK983059:JO983059 TG983059:TK983059 ADC983059:ADG983059 AMY983059:ANC983059 AWU983059:AWY983059 BGQ983059:BGU983059 BQM983059:BQQ983059 CAI983059:CAM983059 CKE983059:CKI983059 CUA983059:CUE983059 DDW983059:DEA983059 DNS983059:DNW983059 DXO983059:DXS983059 EHK983059:EHO983059 ERG983059:ERK983059 FBC983059:FBG983059 FKY983059:FLC983059 FUU983059:FUY983059 GEQ983059:GEU983059 GOM983059:GOQ983059 GYI983059:GYM983059 HIE983059:HII983059 HSA983059:HSE983059 IBW983059:ICA983059 ILS983059:ILW983059 IVO983059:IVS983059 JFK983059:JFO983059 JPG983059:JPK983059 JZC983059:JZG983059 KIY983059:KJC983059 KSU983059:KSY983059 LCQ983059:LCU983059 LMM983059:LMQ983059 LWI983059:LWM983059 MGE983059:MGI983059 MQA983059:MQE983059 MZW983059:NAA983059 NJS983059:NJW983059 NTO983059:NTS983059 ODK983059:ODO983059 ONG983059:ONK983059 OXC983059:OXG983059 PGY983059:PHC983059 PQU983059:PQY983059 QAQ983059:QAU983059 QKM983059:QKQ983059 QUI983059:QUM983059 REE983059:REI983059 ROA983059:ROE983059 RXW983059:RYA983059 SHS983059:SHW983059 SRO983059:SRS983059 TBK983059:TBO983059 TLG983059:TLK983059 TVC983059:TVG983059 UEY983059:UFC983059 UOU983059:UOY983059 UYQ983059:UYU983059 VIM983059:VIQ983059 VSI983059:VSM983059 WCE983059:WCI983059 WMA983059:WME983059 WVW983059:WWA983059 O16:S16 JK16:JO16 TG16:TK16 ADC16:ADG16 AMY16:ANC16 AWU16:AWY16 BGQ16:BGU16 BQM16:BQQ16 CAI16:CAM16 CKE16:CKI16 CUA16:CUE16 DDW16:DEA16 DNS16:DNW16 DXO16:DXS16 EHK16:EHO16 ERG16:ERK16 FBC16:FBG16 FKY16:FLC16 FUU16:FUY16 GEQ16:GEU16 GOM16:GOQ16 GYI16:GYM16 HIE16:HII16 HSA16:HSE16 IBW16:ICA16 ILS16:ILW16 IVO16:IVS16 JFK16:JFO16 JPG16:JPK16 JZC16:JZG16 KIY16:KJC16 KSU16:KSY16 LCQ16:LCU16 LMM16:LMQ16 LWI16:LWM16 MGE16:MGI16 MQA16:MQE16 MZW16:NAA16 NJS16:NJW16 NTO16:NTS16 ODK16:ODO16 ONG16:ONK16 OXC16:OXG16 PGY16:PHC16 PQU16:PQY16 QAQ16:QAU16 QKM16:QKQ16 QUI16:QUM16 REE16:REI16 ROA16:ROE16 RXW16:RYA16 SHS16:SHW16 SRO16:SRS16 TBK16:TBO16 TLG16:TLK16 TVC16:TVG16 UEY16:UFC16 UOU16:UOY16 UYQ16:UYU16 VIM16:VIQ16 VSI16:VSM16 WCE16:WCI16 WMA16:WME16 WVW16:WWA16 O65538:S65538 JK65538:JO65538 TG65538:TK65538 ADC65538:ADG65538 AMY65538:ANC65538 AWU65538:AWY65538 BGQ65538:BGU65538 BQM65538:BQQ65538 CAI65538:CAM65538 CKE65538:CKI65538 CUA65538:CUE65538 DDW65538:DEA65538 DNS65538:DNW65538 DXO65538:DXS65538 EHK65538:EHO65538 ERG65538:ERK65538 FBC65538:FBG65538 FKY65538:FLC65538 FUU65538:FUY65538 GEQ65538:GEU65538 GOM65538:GOQ65538 GYI65538:GYM65538 HIE65538:HII65538 HSA65538:HSE65538 IBW65538:ICA65538 ILS65538:ILW65538 IVO65538:IVS65538 JFK65538:JFO65538 JPG65538:JPK65538 JZC65538:JZG65538 KIY65538:KJC65538 KSU65538:KSY65538 LCQ65538:LCU65538 LMM65538:LMQ65538 LWI65538:LWM65538 MGE65538:MGI65538 MQA65538:MQE65538 MZW65538:NAA65538 NJS65538:NJW65538 NTO65538:NTS65538 ODK65538:ODO65538 ONG65538:ONK65538 OXC65538:OXG65538 PGY65538:PHC65538 PQU65538:PQY65538 QAQ65538:QAU65538 QKM65538:QKQ65538 QUI65538:QUM65538 REE65538:REI65538 ROA65538:ROE65538 RXW65538:RYA65538 SHS65538:SHW65538 SRO65538:SRS65538 TBK65538:TBO65538 TLG65538:TLK65538 TVC65538:TVG65538 UEY65538:UFC65538 UOU65538:UOY65538 UYQ65538:UYU65538 VIM65538:VIQ65538 VSI65538:VSM65538 WCE65538:WCI65538 WMA65538:WME65538 WVW65538:WWA65538 O131074:S131074 JK131074:JO131074 TG131074:TK131074 ADC131074:ADG131074 AMY131074:ANC131074 AWU131074:AWY131074 BGQ131074:BGU131074 BQM131074:BQQ131074 CAI131074:CAM131074 CKE131074:CKI131074 CUA131074:CUE131074 DDW131074:DEA131074 DNS131074:DNW131074 DXO131074:DXS131074 EHK131074:EHO131074 ERG131074:ERK131074 FBC131074:FBG131074 FKY131074:FLC131074 FUU131074:FUY131074 GEQ131074:GEU131074 GOM131074:GOQ131074 GYI131074:GYM131074 HIE131074:HII131074 HSA131074:HSE131074 IBW131074:ICA131074 ILS131074:ILW131074 IVO131074:IVS131074 JFK131074:JFO131074 JPG131074:JPK131074 JZC131074:JZG131074 KIY131074:KJC131074 KSU131074:KSY131074 LCQ131074:LCU131074 LMM131074:LMQ131074 LWI131074:LWM131074 MGE131074:MGI131074 MQA131074:MQE131074 MZW131074:NAA131074 NJS131074:NJW131074 NTO131074:NTS131074 ODK131074:ODO131074 ONG131074:ONK131074 OXC131074:OXG131074 PGY131074:PHC131074 PQU131074:PQY131074 QAQ131074:QAU131074 QKM131074:QKQ131074 QUI131074:QUM131074 REE131074:REI131074 ROA131074:ROE131074 RXW131074:RYA131074 SHS131074:SHW131074 SRO131074:SRS131074 TBK131074:TBO131074 TLG131074:TLK131074 TVC131074:TVG131074 UEY131074:UFC131074 UOU131074:UOY131074 UYQ131074:UYU131074 VIM131074:VIQ131074 VSI131074:VSM131074 WCE131074:WCI131074 WMA131074:WME131074 WVW131074:WWA131074 O196610:S196610 JK196610:JO196610 TG196610:TK196610 ADC196610:ADG196610 AMY196610:ANC196610 AWU196610:AWY196610 BGQ196610:BGU196610 BQM196610:BQQ196610 CAI196610:CAM196610 CKE196610:CKI196610 CUA196610:CUE196610 DDW196610:DEA196610 DNS196610:DNW196610 DXO196610:DXS196610 EHK196610:EHO196610 ERG196610:ERK196610 FBC196610:FBG196610 FKY196610:FLC196610 FUU196610:FUY196610 GEQ196610:GEU196610 GOM196610:GOQ196610 GYI196610:GYM196610 HIE196610:HII196610 HSA196610:HSE196610 IBW196610:ICA196610 ILS196610:ILW196610 IVO196610:IVS196610 JFK196610:JFO196610 JPG196610:JPK196610 JZC196610:JZG196610 KIY196610:KJC196610 KSU196610:KSY196610 LCQ196610:LCU196610 LMM196610:LMQ196610 LWI196610:LWM196610 MGE196610:MGI196610 MQA196610:MQE196610 MZW196610:NAA196610 NJS196610:NJW196610 NTO196610:NTS196610 ODK196610:ODO196610 ONG196610:ONK196610 OXC196610:OXG196610 PGY196610:PHC196610 PQU196610:PQY196610 QAQ196610:QAU196610 QKM196610:QKQ196610 QUI196610:QUM196610 REE196610:REI196610 ROA196610:ROE196610 RXW196610:RYA196610 SHS196610:SHW196610 SRO196610:SRS196610 TBK196610:TBO196610 TLG196610:TLK196610 TVC196610:TVG196610 UEY196610:UFC196610 UOU196610:UOY196610 UYQ196610:UYU196610 VIM196610:VIQ196610 VSI196610:VSM196610 WCE196610:WCI196610 WMA196610:WME196610 WVW196610:WWA196610 O262146:S262146 JK262146:JO262146 TG262146:TK262146 ADC262146:ADG262146 AMY262146:ANC262146 AWU262146:AWY262146 BGQ262146:BGU262146 BQM262146:BQQ262146 CAI262146:CAM262146 CKE262146:CKI262146 CUA262146:CUE262146 DDW262146:DEA262146 DNS262146:DNW262146 DXO262146:DXS262146 EHK262146:EHO262146 ERG262146:ERK262146 FBC262146:FBG262146 FKY262146:FLC262146 FUU262146:FUY262146 GEQ262146:GEU262146 GOM262146:GOQ262146 GYI262146:GYM262146 HIE262146:HII262146 HSA262146:HSE262146 IBW262146:ICA262146 ILS262146:ILW262146 IVO262146:IVS262146 JFK262146:JFO262146 JPG262146:JPK262146 JZC262146:JZG262146 KIY262146:KJC262146 KSU262146:KSY262146 LCQ262146:LCU262146 LMM262146:LMQ262146 LWI262146:LWM262146 MGE262146:MGI262146 MQA262146:MQE262146 MZW262146:NAA262146 NJS262146:NJW262146 NTO262146:NTS262146 ODK262146:ODO262146 ONG262146:ONK262146 OXC262146:OXG262146 PGY262146:PHC262146 PQU262146:PQY262146 QAQ262146:QAU262146 QKM262146:QKQ262146 QUI262146:QUM262146 REE262146:REI262146 ROA262146:ROE262146 RXW262146:RYA262146 SHS262146:SHW262146 SRO262146:SRS262146 TBK262146:TBO262146 TLG262146:TLK262146 TVC262146:TVG262146 UEY262146:UFC262146 UOU262146:UOY262146 UYQ262146:UYU262146 VIM262146:VIQ262146 VSI262146:VSM262146 WCE262146:WCI262146 WMA262146:WME262146 WVW262146:WWA262146 O327682:S327682 JK327682:JO327682 TG327682:TK327682 ADC327682:ADG327682 AMY327682:ANC327682 AWU327682:AWY327682 BGQ327682:BGU327682 BQM327682:BQQ327682 CAI327682:CAM327682 CKE327682:CKI327682 CUA327682:CUE327682 DDW327682:DEA327682 DNS327682:DNW327682 DXO327682:DXS327682 EHK327682:EHO327682 ERG327682:ERK327682 FBC327682:FBG327682 FKY327682:FLC327682 FUU327682:FUY327682 GEQ327682:GEU327682 GOM327682:GOQ327682 GYI327682:GYM327682 HIE327682:HII327682 HSA327682:HSE327682 IBW327682:ICA327682 ILS327682:ILW327682 IVO327682:IVS327682 JFK327682:JFO327682 JPG327682:JPK327682 JZC327682:JZG327682 KIY327682:KJC327682 KSU327682:KSY327682 LCQ327682:LCU327682 LMM327682:LMQ327682 LWI327682:LWM327682 MGE327682:MGI327682 MQA327682:MQE327682 MZW327682:NAA327682 NJS327682:NJW327682 NTO327682:NTS327682 ODK327682:ODO327682 ONG327682:ONK327682 OXC327682:OXG327682 PGY327682:PHC327682 PQU327682:PQY327682 QAQ327682:QAU327682 QKM327682:QKQ327682 QUI327682:QUM327682 REE327682:REI327682 ROA327682:ROE327682 RXW327682:RYA327682 SHS327682:SHW327682 SRO327682:SRS327682 TBK327682:TBO327682 TLG327682:TLK327682 TVC327682:TVG327682 UEY327682:UFC327682 UOU327682:UOY327682 UYQ327682:UYU327682 VIM327682:VIQ327682 VSI327682:VSM327682 WCE327682:WCI327682 WMA327682:WME327682 WVW327682:WWA327682 O393218:S393218 JK393218:JO393218 TG393218:TK393218 ADC393218:ADG393218 AMY393218:ANC393218 AWU393218:AWY393218 BGQ393218:BGU393218 BQM393218:BQQ393218 CAI393218:CAM393218 CKE393218:CKI393218 CUA393218:CUE393218 DDW393218:DEA393218 DNS393218:DNW393218 DXO393218:DXS393218 EHK393218:EHO393218 ERG393218:ERK393218 FBC393218:FBG393218 FKY393218:FLC393218 FUU393218:FUY393218 GEQ393218:GEU393218 GOM393218:GOQ393218 GYI393218:GYM393218 HIE393218:HII393218 HSA393218:HSE393218 IBW393218:ICA393218 ILS393218:ILW393218 IVO393218:IVS393218 JFK393218:JFO393218 JPG393218:JPK393218 JZC393218:JZG393218 KIY393218:KJC393218 KSU393218:KSY393218 LCQ393218:LCU393218 LMM393218:LMQ393218 LWI393218:LWM393218 MGE393218:MGI393218 MQA393218:MQE393218 MZW393218:NAA393218 NJS393218:NJW393218 NTO393218:NTS393218 ODK393218:ODO393218 ONG393218:ONK393218 OXC393218:OXG393218 PGY393218:PHC393218 PQU393218:PQY393218 QAQ393218:QAU393218 QKM393218:QKQ393218 QUI393218:QUM393218 REE393218:REI393218 ROA393218:ROE393218 RXW393218:RYA393218 SHS393218:SHW393218 SRO393218:SRS393218 TBK393218:TBO393218 TLG393218:TLK393218 TVC393218:TVG393218 UEY393218:UFC393218 UOU393218:UOY393218 UYQ393218:UYU393218 VIM393218:VIQ393218 VSI393218:VSM393218 WCE393218:WCI393218 WMA393218:WME393218 WVW393218:WWA393218 O458754:S458754 JK458754:JO458754 TG458754:TK458754 ADC458754:ADG458754 AMY458754:ANC458754 AWU458754:AWY458754 BGQ458754:BGU458754 BQM458754:BQQ458754 CAI458754:CAM458754 CKE458754:CKI458754 CUA458754:CUE458754 DDW458754:DEA458754 DNS458754:DNW458754 DXO458754:DXS458754 EHK458754:EHO458754 ERG458754:ERK458754 FBC458754:FBG458754 FKY458754:FLC458754 FUU458754:FUY458754 GEQ458754:GEU458754 GOM458754:GOQ458754 GYI458754:GYM458754 HIE458754:HII458754 HSA458754:HSE458754 IBW458754:ICA458754 ILS458754:ILW458754 IVO458754:IVS458754 JFK458754:JFO458754 JPG458754:JPK458754 JZC458754:JZG458754 KIY458754:KJC458754 KSU458754:KSY458754 LCQ458754:LCU458754 LMM458754:LMQ458754 LWI458754:LWM458754 MGE458754:MGI458754 MQA458754:MQE458754 MZW458754:NAA458754 NJS458754:NJW458754 NTO458754:NTS458754 ODK458754:ODO458754 ONG458754:ONK458754 OXC458754:OXG458754 PGY458754:PHC458754 PQU458754:PQY458754 QAQ458754:QAU458754 QKM458754:QKQ458754 QUI458754:QUM458754 REE458754:REI458754 ROA458754:ROE458754 RXW458754:RYA458754 SHS458754:SHW458754 SRO458754:SRS458754 TBK458754:TBO458754 TLG458754:TLK458754 TVC458754:TVG458754 UEY458754:UFC458754 UOU458754:UOY458754 UYQ458754:UYU458754 VIM458754:VIQ458754 VSI458754:VSM458754 WCE458754:WCI458754 WMA458754:WME458754 WVW458754:WWA458754 O524290:S524290 JK524290:JO524290 TG524290:TK524290 ADC524290:ADG524290 AMY524290:ANC524290 AWU524290:AWY524290 BGQ524290:BGU524290 BQM524290:BQQ524290 CAI524290:CAM524290 CKE524290:CKI524290 CUA524290:CUE524290 DDW524290:DEA524290 DNS524290:DNW524290 DXO524290:DXS524290 EHK524290:EHO524290 ERG524290:ERK524290 FBC524290:FBG524290 FKY524290:FLC524290 FUU524290:FUY524290 GEQ524290:GEU524290 GOM524290:GOQ524290 GYI524290:GYM524290 HIE524290:HII524290 HSA524290:HSE524290 IBW524290:ICA524290 ILS524290:ILW524290 IVO524290:IVS524290 JFK524290:JFO524290 JPG524290:JPK524290 JZC524290:JZG524290 KIY524290:KJC524290 KSU524290:KSY524290 LCQ524290:LCU524290 LMM524290:LMQ524290 LWI524290:LWM524290 MGE524290:MGI524290 MQA524290:MQE524290 MZW524290:NAA524290 NJS524290:NJW524290 NTO524290:NTS524290 ODK524290:ODO524290 ONG524290:ONK524290 OXC524290:OXG524290 PGY524290:PHC524290 PQU524290:PQY524290 QAQ524290:QAU524290 QKM524290:QKQ524290 QUI524290:QUM524290 REE524290:REI524290 ROA524290:ROE524290 RXW524290:RYA524290 SHS524290:SHW524290 SRO524290:SRS524290 TBK524290:TBO524290 TLG524290:TLK524290 TVC524290:TVG524290 UEY524290:UFC524290 UOU524290:UOY524290 UYQ524290:UYU524290 VIM524290:VIQ524290 VSI524290:VSM524290 WCE524290:WCI524290 WMA524290:WME524290 WVW524290:WWA524290 O589826:S589826 JK589826:JO589826 TG589826:TK589826 ADC589826:ADG589826 AMY589826:ANC589826 AWU589826:AWY589826 BGQ589826:BGU589826 BQM589826:BQQ589826 CAI589826:CAM589826 CKE589826:CKI589826 CUA589826:CUE589826 DDW589826:DEA589826 DNS589826:DNW589826 DXO589826:DXS589826 EHK589826:EHO589826 ERG589826:ERK589826 FBC589826:FBG589826 FKY589826:FLC589826 FUU589826:FUY589826 GEQ589826:GEU589826 GOM589826:GOQ589826 GYI589826:GYM589826 HIE589826:HII589826 HSA589826:HSE589826 IBW589826:ICA589826 ILS589826:ILW589826 IVO589826:IVS589826 JFK589826:JFO589826 JPG589826:JPK589826 JZC589826:JZG589826 KIY589826:KJC589826 KSU589826:KSY589826 LCQ589826:LCU589826 LMM589826:LMQ589826 LWI589826:LWM589826 MGE589826:MGI589826 MQA589826:MQE589826 MZW589826:NAA589826 NJS589826:NJW589826 NTO589826:NTS589826 ODK589826:ODO589826 ONG589826:ONK589826 OXC589826:OXG589826 PGY589826:PHC589826 PQU589826:PQY589826 QAQ589826:QAU589826 QKM589826:QKQ589826 QUI589826:QUM589826 REE589826:REI589826 ROA589826:ROE589826 RXW589826:RYA589826 SHS589826:SHW589826 SRO589826:SRS589826 TBK589826:TBO589826 TLG589826:TLK589826 TVC589826:TVG589826 UEY589826:UFC589826 UOU589826:UOY589826 UYQ589826:UYU589826 VIM589826:VIQ589826 VSI589826:VSM589826 WCE589826:WCI589826 WMA589826:WME589826 WVW589826:WWA589826 O655362:S655362 JK655362:JO655362 TG655362:TK655362 ADC655362:ADG655362 AMY655362:ANC655362 AWU655362:AWY655362 BGQ655362:BGU655362 BQM655362:BQQ655362 CAI655362:CAM655362 CKE655362:CKI655362 CUA655362:CUE655362 DDW655362:DEA655362 DNS655362:DNW655362 DXO655362:DXS655362 EHK655362:EHO655362 ERG655362:ERK655362 FBC655362:FBG655362 FKY655362:FLC655362 FUU655362:FUY655362 GEQ655362:GEU655362 GOM655362:GOQ655362 GYI655362:GYM655362 HIE655362:HII655362 HSA655362:HSE655362 IBW655362:ICA655362 ILS655362:ILW655362 IVO655362:IVS655362 JFK655362:JFO655362 JPG655362:JPK655362 JZC655362:JZG655362 KIY655362:KJC655362 KSU655362:KSY655362 LCQ655362:LCU655362 LMM655362:LMQ655362 LWI655362:LWM655362 MGE655362:MGI655362 MQA655362:MQE655362 MZW655362:NAA655362 NJS655362:NJW655362 NTO655362:NTS655362 ODK655362:ODO655362 ONG655362:ONK655362 OXC655362:OXG655362 PGY655362:PHC655362 PQU655362:PQY655362 QAQ655362:QAU655362 QKM655362:QKQ655362 QUI655362:QUM655362 REE655362:REI655362 ROA655362:ROE655362 RXW655362:RYA655362 SHS655362:SHW655362 SRO655362:SRS655362 TBK655362:TBO655362 TLG655362:TLK655362 TVC655362:TVG655362 UEY655362:UFC655362 UOU655362:UOY655362 UYQ655362:UYU655362 VIM655362:VIQ655362 VSI655362:VSM655362 WCE655362:WCI655362 WMA655362:WME655362 WVW655362:WWA655362 O720898:S720898 JK720898:JO720898 TG720898:TK720898 ADC720898:ADG720898 AMY720898:ANC720898 AWU720898:AWY720898 BGQ720898:BGU720898 BQM720898:BQQ720898 CAI720898:CAM720898 CKE720898:CKI720898 CUA720898:CUE720898 DDW720898:DEA720898 DNS720898:DNW720898 DXO720898:DXS720898 EHK720898:EHO720898 ERG720898:ERK720898 FBC720898:FBG720898 FKY720898:FLC720898 FUU720898:FUY720898 GEQ720898:GEU720898 GOM720898:GOQ720898 GYI720898:GYM720898 HIE720898:HII720898 HSA720898:HSE720898 IBW720898:ICA720898 ILS720898:ILW720898 IVO720898:IVS720898 JFK720898:JFO720898 JPG720898:JPK720898 JZC720898:JZG720898 KIY720898:KJC720898 KSU720898:KSY720898 LCQ720898:LCU720898 LMM720898:LMQ720898 LWI720898:LWM720898 MGE720898:MGI720898 MQA720898:MQE720898 MZW720898:NAA720898 NJS720898:NJW720898 NTO720898:NTS720898 ODK720898:ODO720898 ONG720898:ONK720898 OXC720898:OXG720898 PGY720898:PHC720898 PQU720898:PQY720898 QAQ720898:QAU720898 QKM720898:QKQ720898 QUI720898:QUM720898 REE720898:REI720898 ROA720898:ROE720898 RXW720898:RYA720898 SHS720898:SHW720898 SRO720898:SRS720898 TBK720898:TBO720898 TLG720898:TLK720898 TVC720898:TVG720898 UEY720898:UFC720898 UOU720898:UOY720898 UYQ720898:UYU720898 VIM720898:VIQ720898 VSI720898:VSM720898 WCE720898:WCI720898 WMA720898:WME720898 WVW720898:WWA720898 O786434:S786434 JK786434:JO786434 TG786434:TK786434 ADC786434:ADG786434 AMY786434:ANC786434 AWU786434:AWY786434 BGQ786434:BGU786434 BQM786434:BQQ786434 CAI786434:CAM786434 CKE786434:CKI786434 CUA786434:CUE786434 DDW786434:DEA786434 DNS786434:DNW786434 DXO786434:DXS786434 EHK786434:EHO786434 ERG786434:ERK786434 FBC786434:FBG786434 FKY786434:FLC786434 FUU786434:FUY786434 GEQ786434:GEU786434 GOM786434:GOQ786434 GYI786434:GYM786434 HIE786434:HII786434 HSA786434:HSE786434 IBW786434:ICA786434 ILS786434:ILW786434 IVO786434:IVS786434 JFK786434:JFO786434 JPG786434:JPK786434 JZC786434:JZG786434 KIY786434:KJC786434 KSU786434:KSY786434 LCQ786434:LCU786434 LMM786434:LMQ786434 LWI786434:LWM786434 MGE786434:MGI786434 MQA786434:MQE786434 MZW786434:NAA786434 NJS786434:NJW786434 NTO786434:NTS786434 ODK786434:ODO786434 ONG786434:ONK786434 OXC786434:OXG786434 PGY786434:PHC786434 PQU786434:PQY786434 QAQ786434:QAU786434 QKM786434:QKQ786434 QUI786434:QUM786434 REE786434:REI786434 ROA786434:ROE786434 RXW786434:RYA786434 SHS786434:SHW786434 SRO786434:SRS786434 TBK786434:TBO786434 TLG786434:TLK786434 TVC786434:TVG786434 UEY786434:UFC786434 UOU786434:UOY786434 UYQ786434:UYU786434 VIM786434:VIQ786434 VSI786434:VSM786434 WCE786434:WCI786434 WMA786434:WME786434 WVW786434:WWA786434 O851970:S851970 JK851970:JO851970 TG851970:TK851970 ADC851970:ADG851970 AMY851970:ANC851970 AWU851970:AWY851970 BGQ851970:BGU851970 BQM851970:BQQ851970 CAI851970:CAM851970 CKE851970:CKI851970 CUA851970:CUE851970 DDW851970:DEA851970 DNS851970:DNW851970 DXO851970:DXS851970 EHK851970:EHO851970 ERG851970:ERK851970 FBC851970:FBG851970 FKY851970:FLC851970 FUU851970:FUY851970 GEQ851970:GEU851970 GOM851970:GOQ851970 GYI851970:GYM851970 HIE851970:HII851970 HSA851970:HSE851970 IBW851970:ICA851970 ILS851970:ILW851970 IVO851970:IVS851970 JFK851970:JFO851970 JPG851970:JPK851970 JZC851970:JZG851970 KIY851970:KJC851970 KSU851970:KSY851970 LCQ851970:LCU851970 LMM851970:LMQ851970 LWI851970:LWM851970 MGE851970:MGI851970 MQA851970:MQE851970 MZW851970:NAA851970 NJS851970:NJW851970 NTO851970:NTS851970 ODK851970:ODO851970 ONG851970:ONK851970 OXC851970:OXG851970 PGY851970:PHC851970 PQU851970:PQY851970 QAQ851970:QAU851970 QKM851970:QKQ851970 QUI851970:QUM851970 REE851970:REI851970 ROA851970:ROE851970 RXW851970:RYA851970 SHS851970:SHW851970 SRO851970:SRS851970 TBK851970:TBO851970 TLG851970:TLK851970 TVC851970:TVG851970 UEY851970:UFC851970 UOU851970:UOY851970 UYQ851970:UYU851970 VIM851970:VIQ851970 VSI851970:VSM851970 WCE851970:WCI851970 WMA851970:WME851970 WVW851970:WWA851970 O917506:S917506 JK917506:JO917506 TG917506:TK917506 ADC917506:ADG917506 AMY917506:ANC917506 AWU917506:AWY917506 BGQ917506:BGU917506 BQM917506:BQQ917506 CAI917506:CAM917506 CKE917506:CKI917506 CUA917506:CUE917506 DDW917506:DEA917506 DNS917506:DNW917506 DXO917506:DXS917506 EHK917506:EHO917506 ERG917506:ERK917506 FBC917506:FBG917506 FKY917506:FLC917506 FUU917506:FUY917506 GEQ917506:GEU917506 GOM917506:GOQ917506 GYI917506:GYM917506 HIE917506:HII917506 HSA917506:HSE917506 IBW917506:ICA917506 ILS917506:ILW917506 IVO917506:IVS917506 JFK917506:JFO917506 JPG917506:JPK917506 JZC917506:JZG917506 KIY917506:KJC917506 KSU917506:KSY917506 LCQ917506:LCU917506 LMM917506:LMQ917506 LWI917506:LWM917506 MGE917506:MGI917506 MQA917506:MQE917506 MZW917506:NAA917506 NJS917506:NJW917506 NTO917506:NTS917506 ODK917506:ODO917506 ONG917506:ONK917506 OXC917506:OXG917506 PGY917506:PHC917506 PQU917506:PQY917506 QAQ917506:QAU917506 QKM917506:QKQ917506 QUI917506:QUM917506 REE917506:REI917506 ROA917506:ROE917506 RXW917506:RYA917506 SHS917506:SHW917506 SRO917506:SRS917506 TBK917506:TBO917506 TLG917506:TLK917506 TVC917506:TVG917506 UEY917506:UFC917506 UOU917506:UOY917506 UYQ917506:UYU917506 VIM917506:VIQ917506 VSI917506:VSM917506 WCE917506:WCI917506 WMA917506:WME917506 WVW917506:WWA917506 O983042:S983042 JK983042:JO983042 TG983042:TK983042 ADC983042:ADG983042 AMY983042:ANC983042 AWU983042:AWY983042 BGQ983042:BGU983042 BQM983042:BQQ983042 CAI983042:CAM983042 CKE983042:CKI983042 CUA983042:CUE983042 DDW983042:DEA983042 DNS983042:DNW983042 DXO983042:DXS983042 EHK983042:EHO983042 ERG983042:ERK983042 FBC983042:FBG983042 FKY983042:FLC983042 FUU983042:FUY983042 GEQ983042:GEU983042 GOM983042:GOQ983042 GYI983042:GYM983042 HIE983042:HII983042 HSA983042:HSE983042 IBW983042:ICA983042 ILS983042:ILW983042 IVO983042:IVS983042 JFK983042:JFO983042 JPG983042:JPK983042 JZC983042:JZG983042 KIY983042:KJC983042 KSU983042:KSY983042 LCQ983042:LCU983042 LMM983042:LMQ983042 LWI983042:LWM983042 MGE983042:MGI983042 MQA983042:MQE983042 MZW983042:NAA983042 NJS983042:NJW983042 NTO983042:NTS983042 ODK983042:ODO983042 ONG983042:ONK983042 OXC983042:OXG983042 PGY983042:PHC983042 PQU983042:PQY983042 QAQ983042:QAU983042 QKM983042:QKQ983042 QUI983042:QUM983042 REE983042:REI983042 ROA983042:ROE983042 RXW983042:RYA983042 SHS983042:SHW983042 SRO983042:SRS983042 TBK983042:TBO983042 TLG983042:TLK983042 TVC983042:TVG983042 UEY983042:UFC983042 UOU983042:UOY983042 UYQ983042:UYU983042 VIM983042:VIQ983042 VSI983042:VSM983042 WCE983042:WCI983042 WMA983042:WME983042 WVW983042:WWA983042 O6:S6 JK6:JO6 TG6:TK6 ADC6:ADG6 AMY6:ANC6 AWU6:AWY6 BGQ6:BGU6 BQM6:BQQ6 CAI6:CAM6 CKE6:CKI6 CUA6:CUE6 DDW6:DEA6 DNS6:DNW6 DXO6:DXS6 EHK6:EHO6 ERG6:ERK6 FBC6:FBG6 FKY6:FLC6 FUU6:FUY6 GEQ6:GEU6 GOM6:GOQ6 GYI6:GYM6 HIE6:HII6 HSA6:HSE6 IBW6:ICA6 ILS6:ILW6 IVO6:IVS6 JFK6:JFO6 JPG6:JPK6 JZC6:JZG6 KIY6:KJC6 KSU6:KSY6 LCQ6:LCU6 LMM6:LMQ6 LWI6:LWM6 MGE6:MGI6 MQA6:MQE6 MZW6:NAA6 NJS6:NJW6 NTO6:NTS6 ODK6:ODO6 ONG6:ONK6 OXC6:OXG6 PGY6:PHC6 PQU6:PQY6 QAQ6:QAU6 QKM6:QKQ6 QUI6:QUM6 REE6:REI6 ROA6:ROE6 RXW6:RYA6 SHS6:SHW6 SRO6:SRS6 TBK6:TBO6 TLG6:TLK6 TVC6:TVG6 UEY6:UFC6 UOU6:UOY6 UYQ6:UYU6 VIM6:VIQ6 VSI6:VSM6 WCE6:WCI6 WMA6:WME6 WVW6:WWA6 O65521:S65521 JK65521:JO65521 TG65521:TK65521 ADC65521:ADG65521 AMY65521:ANC65521 AWU65521:AWY65521 BGQ65521:BGU65521 BQM65521:BQQ65521 CAI65521:CAM65521 CKE65521:CKI65521 CUA65521:CUE65521 DDW65521:DEA65521 DNS65521:DNW65521 DXO65521:DXS65521 EHK65521:EHO65521 ERG65521:ERK65521 FBC65521:FBG65521 FKY65521:FLC65521 FUU65521:FUY65521 GEQ65521:GEU65521 GOM65521:GOQ65521 GYI65521:GYM65521 HIE65521:HII65521 HSA65521:HSE65521 IBW65521:ICA65521 ILS65521:ILW65521 IVO65521:IVS65521 JFK65521:JFO65521 JPG65521:JPK65521 JZC65521:JZG65521 KIY65521:KJC65521 KSU65521:KSY65521 LCQ65521:LCU65521 LMM65521:LMQ65521 LWI65521:LWM65521 MGE65521:MGI65521 MQA65521:MQE65521 MZW65521:NAA65521 NJS65521:NJW65521 NTO65521:NTS65521 ODK65521:ODO65521 ONG65521:ONK65521 OXC65521:OXG65521 PGY65521:PHC65521 PQU65521:PQY65521 QAQ65521:QAU65521 QKM65521:QKQ65521 QUI65521:QUM65521 REE65521:REI65521 ROA65521:ROE65521 RXW65521:RYA65521 SHS65521:SHW65521 SRO65521:SRS65521 TBK65521:TBO65521 TLG65521:TLK65521 TVC65521:TVG65521 UEY65521:UFC65521 UOU65521:UOY65521 UYQ65521:UYU65521 VIM65521:VIQ65521 VSI65521:VSM65521 WCE65521:WCI65521 WMA65521:WME65521 WVW65521:WWA65521 O131057:S131057 JK131057:JO131057 TG131057:TK131057 ADC131057:ADG131057 AMY131057:ANC131057 AWU131057:AWY131057 BGQ131057:BGU131057 BQM131057:BQQ131057 CAI131057:CAM131057 CKE131057:CKI131057 CUA131057:CUE131057 DDW131057:DEA131057 DNS131057:DNW131057 DXO131057:DXS131057 EHK131057:EHO131057 ERG131057:ERK131057 FBC131057:FBG131057 FKY131057:FLC131057 FUU131057:FUY131057 GEQ131057:GEU131057 GOM131057:GOQ131057 GYI131057:GYM131057 HIE131057:HII131057 HSA131057:HSE131057 IBW131057:ICA131057 ILS131057:ILW131057 IVO131057:IVS131057 JFK131057:JFO131057 JPG131057:JPK131057 JZC131057:JZG131057 KIY131057:KJC131057 KSU131057:KSY131057 LCQ131057:LCU131057 LMM131057:LMQ131057 LWI131057:LWM131057 MGE131057:MGI131057 MQA131057:MQE131057 MZW131057:NAA131057 NJS131057:NJW131057 NTO131057:NTS131057 ODK131057:ODO131057 ONG131057:ONK131057 OXC131057:OXG131057 PGY131057:PHC131057 PQU131057:PQY131057 QAQ131057:QAU131057 QKM131057:QKQ131057 QUI131057:QUM131057 REE131057:REI131057 ROA131057:ROE131057 RXW131057:RYA131057 SHS131057:SHW131057 SRO131057:SRS131057 TBK131057:TBO131057 TLG131057:TLK131057 TVC131057:TVG131057 UEY131057:UFC131057 UOU131057:UOY131057 UYQ131057:UYU131057 VIM131057:VIQ131057 VSI131057:VSM131057 WCE131057:WCI131057 WMA131057:WME131057 WVW131057:WWA131057 O196593:S196593 JK196593:JO196593 TG196593:TK196593 ADC196593:ADG196593 AMY196593:ANC196593 AWU196593:AWY196593 BGQ196593:BGU196593 BQM196593:BQQ196593 CAI196593:CAM196593 CKE196593:CKI196593 CUA196593:CUE196593 DDW196593:DEA196593 DNS196593:DNW196593 DXO196593:DXS196593 EHK196593:EHO196593 ERG196593:ERK196593 FBC196593:FBG196593 FKY196593:FLC196593 FUU196593:FUY196593 GEQ196593:GEU196593 GOM196593:GOQ196593 GYI196593:GYM196593 HIE196593:HII196593 HSA196593:HSE196593 IBW196593:ICA196593 ILS196593:ILW196593 IVO196593:IVS196593 JFK196593:JFO196593 JPG196593:JPK196593 JZC196593:JZG196593 KIY196593:KJC196593 KSU196593:KSY196593 LCQ196593:LCU196593 LMM196593:LMQ196593 LWI196593:LWM196593 MGE196593:MGI196593 MQA196593:MQE196593 MZW196593:NAA196593 NJS196593:NJW196593 NTO196593:NTS196593 ODK196593:ODO196593 ONG196593:ONK196593 OXC196593:OXG196593 PGY196593:PHC196593 PQU196593:PQY196593 QAQ196593:QAU196593 QKM196593:QKQ196593 QUI196593:QUM196593 REE196593:REI196593 ROA196593:ROE196593 RXW196593:RYA196593 SHS196593:SHW196593 SRO196593:SRS196593 TBK196593:TBO196593 TLG196593:TLK196593 TVC196593:TVG196593 UEY196593:UFC196593 UOU196593:UOY196593 UYQ196593:UYU196593 VIM196593:VIQ196593 VSI196593:VSM196593 WCE196593:WCI196593 WMA196593:WME196593 WVW196593:WWA196593 O262129:S262129 JK262129:JO262129 TG262129:TK262129 ADC262129:ADG262129 AMY262129:ANC262129 AWU262129:AWY262129 BGQ262129:BGU262129 BQM262129:BQQ262129 CAI262129:CAM262129 CKE262129:CKI262129 CUA262129:CUE262129 DDW262129:DEA262129 DNS262129:DNW262129 DXO262129:DXS262129 EHK262129:EHO262129 ERG262129:ERK262129 FBC262129:FBG262129 FKY262129:FLC262129 FUU262129:FUY262129 GEQ262129:GEU262129 GOM262129:GOQ262129 GYI262129:GYM262129 HIE262129:HII262129 HSA262129:HSE262129 IBW262129:ICA262129 ILS262129:ILW262129 IVO262129:IVS262129 JFK262129:JFO262129 JPG262129:JPK262129 JZC262129:JZG262129 KIY262129:KJC262129 KSU262129:KSY262129 LCQ262129:LCU262129 LMM262129:LMQ262129 LWI262129:LWM262129 MGE262129:MGI262129 MQA262129:MQE262129 MZW262129:NAA262129 NJS262129:NJW262129 NTO262129:NTS262129 ODK262129:ODO262129 ONG262129:ONK262129 OXC262129:OXG262129 PGY262129:PHC262129 PQU262129:PQY262129 QAQ262129:QAU262129 QKM262129:QKQ262129 QUI262129:QUM262129 REE262129:REI262129 ROA262129:ROE262129 RXW262129:RYA262129 SHS262129:SHW262129 SRO262129:SRS262129 TBK262129:TBO262129 TLG262129:TLK262129 TVC262129:TVG262129 UEY262129:UFC262129 UOU262129:UOY262129 UYQ262129:UYU262129 VIM262129:VIQ262129 VSI262129:VSM262129 WCE262129:WCI262129 WMA262129:WME262129 WVW262129:WWA262129 O327665:S327665 JK327665:JO327665 TG327665:TK327665 ADC327665:ADG327665 AMY327665:ANC327665 AWU327665:AWY327665 BGQ327665:BGU327665 BQM327665:BQQ327665 CAI327665:CAM327665 CKE327665:CKI327665 CUA327665:CUE327665 DDW327665:DEA327665 DNS327665:DNW327665 DXO327665:DXS327665 EHK327665:EHO327665 ERG327665:ERK327665 FBC327665:FBG327665 FKY327665:FLC327665 FUU327665:FUY327665 GEQ327665:GEU327665 GOM327665:GOQ327665 GYI327665:GYM327665 HIE327665:HII327665 HSA327665:HSE327665 IBW327665:ICA327665 ILS327665:ILW327665 IVO327665:IVS327665 JFK327665:JFO327665 JPG327665:JPK327665 JZC327665:JZG327665 KIY327665:KJC327665 KSU327665:KSY327665 LCQ327665:LCU327665 LMM327665:LMQ327665 LWI327665:LWM327665 MGE327665:MGI327665 MQA327665:MQE327665 MZW327665:NAA327665 NJS327665:NJW327665 NTO327665:NTS327665 ODK327665:ODO327665 ONG327665:ONK327665 OXC327665:OXG327665 PGY327665:PHC327665 PQU327665:PQY327665 QAQ327665:QAU327665 QKM327665:QKQ327665 QUI327665:QUM327665 REE327665:REI327665 ROA327665:ROE327665 RXW327665:RYA327665 SHS327665:SHW327665 SRO327665:SRS327665 TBK327665:TBO327665 TLG327665:TLK327665 TVC327665:TVG327665 UEY327665:UFC327665 UOU327665:UOY327665 UYQ327665:UYU327665 VIM327665:VIQ327665 VSI327665:VSM327665 WCE327665:WCI327665 WMA327665:WME327665 WVW327665:WWA327665 O393201:S393201 JK393201:JO393201 TG393201:TK393201 ADC393201:ADG393201 AMY393201:ANC393201 AWU393201:AWY393201 BGQ393201:BGU393201 BQM393201:BQQ393201 CAI393201:CAM393201 CKE393201:CKI393201 CUA393201:CUE393201 DDW393201:DEA393201 DNS393201:DNW393201 DXO393201:DXS393201 EHK393201:EHO393201 ERG393201:ERK393201 FBC393201:FBG393201 FKY393201:FLC393201 FUU393201:FUY393201 GEQ393201:GEU393201 GOM393201:GOQ393201 GYI393201:GYM393201 HIE393201:HII393201 HSA393201:HSE393201 IBW393201:ICA393201 ILS393201:ILW393201 IVO393201:IVS393201 JFK393201:JFO393201 JPG393201:JPK393201 JZC393201:JZG393201 KIY393201:KJC393201 KSU393201:KSY393201 LCQ393201:LCU393201 LMM393201:LMQ393201 LWI393201:LWM393201 MGE393201:MGI393201 MQA393201:MQE393201 MZW393201:NAA393201 NJS393201:NJW393201 NTO393201:NTS393201 ODK393201:ODO393201 ONG393201:ONK393201 OXC393201:OXG393201 PGY393201:PHC393201 PQU393201:PQY393201 QAQ393201:QAU393201 QKM393201:QKQ393201 QUI393201:QUM393201 REE393201:REI393201 ROA393201:ROE393201 RXW393201:RYA393201 SHS393201:SHW393201 SRO393201:SRS393201 TBK393201:TBO393201 TLG393201:TLK393201 TVC393201:TVG393201 UEY393201:UFC393201 UOU393201:UOY393201 UYQ393201:UYU393201 VIM393201:VIQ393201 VSI393201:VSM393201 WCE393201:WCI393201 WMA393201:WME393201 WVW393201:WWA393201 O458737:S458737 JK458737:JO458737 TG458737:TK458737 ADC458737:ADG458737 AMY458737:ANC458737 AWU458737:AWY458737 BGQ458737:BGU458737 BQM458737:BQQ458737 CAI458737:CAM458737 CKE458737:CKI458737 CUA458737:CUE458737 DDW458737:DEA458737 DNS458737:DNW458737 DXO458737:DXS458737 EHK458737:EHO458737 ERG458737:ERK458737 FBC458737:FBG458737 FKY458737:FLC458737 FUU458737:FUY458737 GEQ458737:GEU458737 GOM458737:GOQ458737 GYI458737:GYM458737 HIE458737:HII458737 HSA458737:HSE458737 IBW458737:ICA458737 ILS458737:ILW458737 IVO458737:IVS458737 JFK458737:JFO458737 JPG458737:JPK458737 JZC458737:JZG458737 KIY458737:KJC458737 KSU458737:KSY458737 LCQ458737:LCU458737 LMM458737:LMQ458737 LWI458737:LWM458737 MGE458737:MGI458737 MQA458737:MQE458737 MZW458737:NAA458737 NJS458737:NJW458737 NTO458737:NTS458737 ODK458737:ODO458737 ONG458737:ONK458737 OXC458737:OXG458737 PGY458737:PHC458737 PQU458737:PQY458737 QAQ458737:QAU458737 QKM458737:QKQ458737 QUI458737:QUM458737 REE458737:REI458737 ROA458737:ROE458737 RXW458737:RYA458737 SHS458737:SHW458737 SRO458737:SRS458737 TBK458737:TBO458737 TLG458737:TLK458737 TVC458737:TVG458737 UEY458737:UFC458737 UOU458737:UOY458737 UYQ458737:UYU458737 VIM458737:VIQ458737 VSI458737:VSM458737 WCE458737:WCI458737 WMA458737:WME458737 WVW458737:WWA458737 O524273:S524273 JK524273:JO524273 TG524273:TK524273 ADC524273:ADG524273 AMY524273:ANC524273 AWU524273:AWY524273 BGQ524273:BGU524273 BQM524273:BQQ524273 CAI524273:CAM524273 CKE524273:CKI524273 CUA524273:CUE524273 DDW524273:DEA524273 DNS524273:DNW524273 DXO524273:DXS524273 EHK524273:EHO524273 ERG524273:ERK524273 FBC524273:FBG524273 FKY524273:FLC524273 FUU524273:FUY524273 GEQ524273:GEU524273 GOM524273:GOQ524273 GYI524273:GYM524273 HIE524273:HII524273 HSA524273:HSE524273 IBW524273:ICA524273 ILS524273:ILW524273 IVO524273:IVS524273 JFK524273:JFO524273 JPG524273:JPK524273 JZC524273:JZG524273 KIY524273:KJC524273 KSU524273:KSY524273 LCQ524273:LCU524273 LMM524273:LMQ524273 LWI524273:LWM524273 MGE524273:MGI524273 MQA524273:MQE524273 MZW524273:NAA524273 NJS524273:NJW524273 NTO524273:NTS524273 ODK524273:ODO524273 ONG524273:ONK524273 OXC524273:OXG524273 PGY524273:PHC524273 PQU524273:PQY524273 QAQ524273:QAU524273 QKM524273:QKQ524273 QUI524273:QUM524273 REE524273:REI524273 ROA524273:ROE524273 RXW524273:RYA524273 SHS524273:SHW524273 SRO524273:SRS524273 TBK524273:TBO524273 TLG524273:TLK524273 TVC524273:TVG524273 UEY524273:UFC524273 UOU524273:UOY524273 UYQ524273:UYU524273 VIM524273:VIQ524273 VSI524273:VSM524273 WCE524273:WCI524273 WMA524273:WME524273 WVW524273:WWA524273 O589809:S589809 JK589809:JO589809 TG589809:TK589809 ADC589809:ADG589809 AMY589809:ANC589809 AWU589809:AWY589809 BGQ589809:BGU589809 BQM589809:BQQ589809 CAI589809:CAM589809 CKE589809:CKI589809 CUA589809:CUE589809 DDW589809:DEA589809 DNS589809:DNW589809 DXO589809:DXS589809 EHK589809:EHO589809 ERG589809:ERK589809 FBC589809:FBG589809 FKY589809:FLC589809 FUU589809:FUY589809 GEQ589809:GEU589809 GOM589809:GOQ589809 GYI589809:GYM589809 HIE589809:HII589809 HSA589809:HSE589809 IBW589809:ICA589809 ILS589809:ILW589809 IVO589809:IVS589809 JFK589809:JFO589809 JPG589809:JPK589809 JZC589809:JZG589809 KIY589809:KJC589809 KSU589809:KSY589809 LCQ589809:LCU589809 LMM589809:LMQ589809 LWI589809:LWM589809 MGE589809:MGI589809 MQA589809:MQE589809 MZW589809:NAA589809 NJS589809:NJW589809 NTO589809:NTS589809 ODK589809:ODO589809 ONG589809:ONK589809 OXC589809:OXG589809 PGY589809:PHC589809 PQU589809:PQY589809 QAQ589809:QAU589809 QKM589809:QKQ589809 QUI589809:QUM589809 REE589809:REI589809 ROA589809:ROE589809 RXW589809:RYA589809 SHS589809:SHW589809 SRO589809:SRS589809 TBK589809:TBO589809 TLG589809:TLK589809 TVC589809:TVG589809 UEY589809:UFC589809 UOU589809:UOY589809 UYQ589809:UYU589809 VIM589809:VIQ589809 VSI589809:VSM589809 WCE589809:WCI589809 WMA589809:WME589809 WVW589809:WWA589809 O655345:S655345 JK655345:JO655345 TG655345:TK655345 ADC655345:ADG655345 AMY655345:ANC655345 AWU655345:AWY655345 BGQ655345:BGU655345 BQM655345:BQQ655345 CAI655345:CAM655345 CKE655345:CKI655345 CUA655345:CUE655345 DDW655345:DEA655345 DNS655345:DNW655345 DXO655345:DXS655345 EHK655345:EHO655345 ERG655345:ERK655345 FBC655345:FBG655345 FKY655345:FLC655345 FUU655345:FUY655345 GEQ655345:GEU655345 GOM655345:GOQ655345 GYI655345:GYM655345 HIE655345:HII655345 HSA655345:HSE655345 IBW655345:ICA655345 ILS655345:ILW655345 IVO655345:IVS655345 JFK655345:JFO655345 JPG655345:JPK655345 JZC655345:JZG655345 KIY655345:KJC655345 KSU655345:KSY655345 LCQ655345:LCU655345 LMM655345:LMQ655345 LWI655345:LWM655345 MGE655345:MGI655345 MQA655345:MQE655345 MZW655345:NAA655345 NJS655345:NJW655345 NTO655345:NTS655345 ODK655345:ODO655345 ONG655345:ONK655345 OXC655345:OXG655345 PGY655345:PHC655345 PQU655345:PQY655345 QAQ655345:QAU655345 QKM655345:QKQ655345 QUI655345:QUM655345 REE655345:REI655345 ROA655345:ROE655345 RXW655345:RYA655345 SHS655345:SHW655345 SRO655345:SRS655345 TBK655345:TBO655345 TLG655345:TLK655345 TVC655345:TVG655345 UEY655345:UFC655345 UOU655345:UOY655345 UYQ655345:UYU655345 VIM655345:VIQ655345 VSI655345:VSM655345 WCE655345:WCI655345 WMA655345:WME655345 WVW655345:WWA655345 O720881:S720881 JK720881:JO720881 TG720881:TK720881 ADC720881:ADG720881 AMY720881:ANC720881 AWU720881:AWY720881 BGQ720881:BGU720881 BQM720881:BQQ720881 CAI720881:CAM720881 CKE720881:CKI720881 CUA720881:CUE720881 DDW720881:DEA720881 DNS720881:DNW720881 DXO720881:DXS720881 EHK720881:EHO720881 ERG720881:ERK720881 FBC720881:FBG720881 FKY720881:FLC720881 FUU720881:FUY720881 GEQ720881:GEU720881 GOM720881:GOQ720881 GYI720881:GYM720881 HIE720881:HII720881 HSA720881:HSE720881 IBW720881:ICA720881 ILS720881:ILW720881 IVO720881:IVS720881 JFK720881:JFO720881 JPG720881:JPK720881 JZC720881:JZG720881 KIY720881:KJC720881 KSU720881:KSY720881 LCQ720881:LCU720881 LMM720881:LMQ720881 LWI720881:LWM720881 MGE720881:MGI720881 MQA720881:MQE720881 MZW720881:NAA720881 NJS720881:NJW720881 NTO720881:NTS720881 ODK720881:ODO720881 ONG720881:ONK720881 OXC720881:OXG720881 PGY720881:PHC720881 PQU720881:PQY720881 QAQ720881:QAU720881 QKM720881:QKQ720881 QUI720881:QUM720881 REE720881:REI720881 ROA720881:ROE720881 RXW720881:RYA720881 SHS720881:SHW720881 SRO720881:SRS720881 TBK720881:TBO720881 TLG720881:TLK720881 TVC720881:TVG720881 UEY720881:UFC720881 UOU720881:UOY720881 UYQ720881:UYU720881 VIM720881:VIQ720881 VSI720881:VSM720881 WCE720881:WCI720881 WMA720881:WME720881 WVW720881:WWA720881 O786417:S786417 JK786417:JO786417 TG786417:TK786417 ADC786417:ADG786417 AMY786417:ANC786417 AWU786417:AWY786417 BGQ786417:BGU786417 BQM786417:BQQ786417 CAI786417:CAM786417 CKE786417:CKI786417 CUA786417:CUE786417 DDW786417:DEA786417 DNS786417:DNW786417 DXO786417:DXS786417 EHK786417:EHO786417 ERG786417:ERK786417 FBC786417:FBG786417 FKY786417:FLC786417 FUU786417:FUY786417 GEQ786417:GEU786417 GOM786417:GOQ786417 GYI786417:GYM786417 HIE786417:HII786417 HSA786417:HSE786417 IBW786417:ICA786417 ILS786417:ILW786417 IVO786417:IVS786417 JFK786417:JFO786417 JPG786417:JPK786417 JZC786417:JZG786417 KIY786417:KJC786417 KSU786417:KSY786417 LCQ786417:LCU786417 LMM786417:LMQ786417 LWI786417:LWM786417 MGE786417:MGI786417 MQA786417:MQE786417 MZW786417:NAA786417 NJS786417:NJW786417 NTO786417:NTS786417 ODK786417:ODO786417 ONG786417:ONK786417 OXC786417:OXG786417 PGY786417:PHC786417 PQU786417:PQY786417 QAQ786417:QAU786417 QKM786417:QKQ786417 QUI786417:QUM786417 REE786417:REI786417 ROA786417:ROE786417 RXW786417:RYA786417 SHS786417:SHW786417 SRO786417:SRS786417 TBK786417:TBO786417 TLG786417:TLK786417 TVC786417:TVG786417 UEY786417:UFC786417 UOU786417:UOY786417 UYQ786417:UYU786417 VIM786417:VIQ786417 VSI786417:VSM786417 WCE786417:WCI786417 WMA786417:WME786417 WVW786417:WWA786417 O851953:S851953 JK851953:JO851953 TG851953:TK851953 ADC851953:ADG851953 AMY851953:ANC851953 AWU851953:AWY851953 BGQ851953:BGU851953 BQM851953:BQQ851953 CAI851953:CAM851953 CKE851953:CKI851953 CUA851953:CUE851953 DDW851953:DEA851953 DNS851953:DNW851953 DXO851953:DXS851953 EHK851953:EHO851953 ERG851953:ERK851953 FBC851953:FBG851953 FKY851953:FLC851953 FUU851953:FUY851953 GEQ851953:GEU851953 GOM851953:GOQ851953 GYI851953:GYM851953 HIE851953:HII851953 HSA851953:HSE851953 IBW851953:ICA851953 ILS851953:ILW851953 IVO851953:IVS851953 JFK851953:JFO851953 JPG851953:JPK851953 JZC851953:JZG851953 KIY851953:KJC851953 KSU851953:KSY851953 LCQ851953:LCU851953 LMM851953:LMQ851953 LWI851953:LWM851953 MGE851953:MGI851953 MQA851953:MQE851953 MZW851953:NAA851953 NJS851953:NJW851953 NTO851953:NTS851953 ODK851953:ODO851953 ONG851953:ONK851953 OXC851953:OXG851953 PGY851953:PHC851953 PQU851953:PQY851953 QAQ851953:QAU851953 QKM851953:QKQ851953 QUI851953:QUM851953 REE851953:REI851953 ROA851953:ROE851953 RXW851953:RYA851953 SHS851953:SHW851953 SRO851953:SRS851953 TBK851953:TBO851953 TLG851953:TLK851953 TVC851953:TVG851953 UEY851953:UFC851953 UOU851953:UOY851953 UYQ851953:UYU851953 VIM851953:VIQ851953 VSI851953:VSM851953 WCE851953:WCI851953 WMA851953:WME851953 WVW851953:WWA851953 O917489:S917489 JK917489:JO917489 TG917489:TK917489 ADC917489:ADG917489 AMY917489:ANC917489 AWU917489:AWY917489 BGQ917489:BGU917489 BQM917489:BQQ917489 CAI917489:CAM917489 CKE917489:CKI917489 CUA917489:CUE917489 DDW917489:DEA917489 DNS917489:DNW917489 DXO917489:DXS917489 EHK917489:EHO917489 ERG917489:ERK917489 FBC917489:FBG917489 FKY917489:FLC917489 FUU917489:FUY917489 GEQ917489:GEU917489 GOM917489:GOQ917489 GYI917489:GYM917489 HIE917489:HII917489 HSA917489:HSE917489 IBW917489:ICA917489 ILS917489:ILW917489 IVO917489:IVS917489 JFK917489:JFO917489 JPG917489:JPK917489 JZC917489:JZG917489 KIY917489:KJC917489 KSU917489:KSY917489 LCQ917489:LCU917489 LMM917489:LMQ917489 LWI917489:LWM917489 MGE917489:MGI917489 MQA917489:MQE917489 MZW917489:NAA917489 NJS917489:NJW917489 NTO917489:NTS917489 ODK917489:ODO917489 ONG917489:ONK917489 OXC917489:OXG917489 PGY917489:PHC917489 PQU917489:PQY917489 QAQ917489:QAU917489 QKM917489:QKQ917489 QUI917489:QUM917489 REE917489:REI917489 ROA917489:ROE917489 RXW917489:RYA917489 SHS917489:SHW917489 SRO917489:SRS917489 TBK917489:TBO917489 TLG917489:TLK917489 TVC917489:TVG917489 UEY917489:UFC917489 UOU917489:UOY917489 UYQ917489:UYU917489 VIM917489:VIQ917489 VSI917489:VSM917489 WCE917489:WCI917489 WMA917489:WME917489 WVW917489:WWA917489 O983025:S983025 JK983025:JO983025 TG983025:TK983025 ADC983025:ADG983025 AMY983025:ANC983025 AWU983025:AWY983025 BGQ983025:BGU983025 BQM983025:BQQ983025 CAI983025:CAM983025 CKE983025:CKI983025 CUA983025:CUE983025 DDW983025:DEA983025 DNS983025:DNW983025 DXO983025:DXS983025 EHK983025:EHO983025 ERG983025:ERK983025 FBC983025:FBG983025 FKY983025:FLC983025 FUU983025:FUY983025 GEQ983025:GEU983025 GOM983025:GOQ983025 GYI983025:GYM983025 HIE983025:HII983025 HSA983025:HSE983025 IBW983025:ICA983025 ILS983025:ILW983025 IVO983025:IVS983025 JFK983025:JFO983025 JPG983025:JPK983025 JZC983025:JZG983025 KIY983025:KJC983025 KSU983025:KSY983025 LCQ983025:LCU983025 LMM983025:LMQ983025 LWI983025:LWM983025 MGE983025:MGI983025 MQA983025:MQE983025 MZW983025:NAA983025 NJS983025:NJW983025 NTO983025:NTS983025 ODK983025:ODO983025 ONG983025:ONK983025 OXC983025:OXG983025 PGY983025:PHC983025 PQU983025:PQY983025 QAQ983025:QAU983025 QKM983025:QKQ983025 QUI983025:QUM983025 REE983025:REI983025 ROA983025:ROE983025 RXW983025:RYA983025 SHS983025:SHW983025 SRO983025:SRS983025 TBK983025:TBO983025 TLG983025:TLK983025 TVC983025:TVG983025 UEY983025:UFC983025 UOU983025:UOY983025 UYQ983025:UYU983025 VIM983025:VIQ983025 VSI983025:VSM983025 WCE983025:WCI983025 WMA983025:WME983025 WVW983025:WWA983025">
      <formula1>75</formula1>
      <formula2>76</formula2>
    </dataValidation>
  </dataValidations>
  <printOptions horizontalCentered="1"/>
  <pageMargins left="0.2" right="0.2" top="0.75" bottom="0.25" header="0.3" footer="0.3"/>
  <pageSetup scale="79" orientation="landscape" r:id="rId1"/>
  <customProperties>
    <customPr name="DrillPoint.Configuration" r:id="rId2"/>
    <customPr name="DrillPoint.FROID" r:id="rId3"/>
    <customPr name="DrillPoint.Mode" r:id="rId4"/>
    <customPr name="DrillPoint.SaveEntireSheet" r:id="rId5"/>
    <customPr name="DrillPoint.Subsheet" r:id="rId6"/>
    <customPr name="DrillPoint.WorksheetID" r:id="rId7"/>
  </customProperties>
  <ignoredErrors>
    <ignoredError sqref="C6:S6 D36:N36 C36 C34:N34 C24:N24 C14:S14 C33:N33 C23:N23 C13:S13 C26:N26 C16:N16 C10:S12 C19:S22 O16:S16 C29:S32 O26:S26 C15:S15 C25:S25 O23:S23 C35:S35 O33:S33 O24:S24 O34:S34 C40:S41 O36:S36 E7:N8 C9:D9 E9:S9 D7:D8 D17:D18 E17:N18 B39:N39 C42:C44 D42:S44 O39:S39 C18 C8 O7:O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A3715BA9A7264C95CBCCE1F6F41FB7" ma:contentTypeVersion="8" ma:contentTypeDescription="Create a new document." ma:contentTypeScope="" ma:versionID="a367584c4472989e70be07f417224bd1">
  <xsd:schema xmlns:xsd="http://www.w3.org/2001/XMLSchema" xmlns:xs="http://www.w3.org/2001/XMLSchema" xmlns:p="http://schemas.microsoft.com/office/2006/metadata/properties" xmlns:ns3="9b71ab8f-32ff-4ab1-81e1-9ec39ed60a87" targetNamespace="http://schemas.microsoft.com/office/2006/metadata/properties" ma:root="true" ma:fieldsID="6a647fa4df770803e9ece8447f9cf867" ns3:_="">
    <xsd:import namespace="9b71ab8f-32ff-4ab1-81e1-9ec39ed60a8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71ab8f-32ff-4ab1-81e1-9ec39ed60a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114465-AA15-4696-93A7-DAE8E42A0998}">
  <ds:schemaRefs>
    <ds:schemaRef ds:uri="http://purl.org/dc/terms/"/>
    <ds:schemaRef ds:uri="http://schemas.openxmlformats.org/package/2006/metadata/core-properties"/>
    <ds:schemaRef ds:uri="http://purl.org/dc/dcmitype/"/>
    <ds:schemaRef ds:uri="9b71ab8f-32ff-4ab1-81e1-9ec39ed60a87"/>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78CE728-5B84-4EF0-85FF-6F331A9EB97B}">
  <ds:schemaRefs>
    <ds:schemaRef ds:uri="http://schemas.microsoft.com/sharepoint/v3/contenttype/forms"/>
  </ds:schemaRefs>
</ds:datastoreItem>
</file>

<file path=customXml/itemProps3.xml><?xml version="1.0" encoding="utf-8"?>
<ds:datastoreItem xmlns:ds="http://schemas.openxmlformats.org/officeDocument/2006/customXml" ds:itemID="{75683849-E26D-48FB-9D79-BD0DCCB48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71ab8f-32ff-4ab1-81e1-9ec39ed60a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Trips</vt:lpstr>
      <vt:lpstr>Miles</vt:lpstr>
      <vt:lpstr>3-Costs</vt:lpstr>
      <vt:lpstr>3a-Admin Surcharges</vt:lpstr>
      <vt:lpstr>3b-RM Report Data</vt:lpstr>
      <vt:lpstr>OpStatTotals(AllServices)</vt:lpstr>
      <vt:lpstr>4a-CT NCDOT OpStats Form</vt:lpstr>
      <vt:lpstr>OpStatsTotals(MBTrailblazers)</vt:lpstr>
      <vt:lpstr>7-ADA Monthly Service Rpt ART</vt:lpstr>
      <vt:lpstr>7a-ADA Services Evaluation</vt:lpstr>
      <vt:lpstr>7a-Urban OpStats Form</vt:lpstr>
      <vt:lpstr>COA Service Report Info</vt:lpstr>
      <vt:lpstr>OpStatsTotals(DR)</vt:lpstr>
      <vt:lpstr>TripComparisons</vt:lpstr>
      <vt:lpstr>SystemOverview</vt:lpstr>
      <vt:lpstr>ServiceAssessment</vt:lpstr>
      <vt:lpstr>11-Mo to Annual Op Stats Comp</vt:lpstr>
      <vt:lpstr>12-Qtrly CTAB Report</vt:lpstr>
      <vt:lpstr>NTDMonthlyRidership</vt:lpstr>
      <vt:lpstr>13_NTD_FinancialReport_Transfer</vt:lpstr>
      <vt:lpstr>'11-Mo to Annual Op Stats Comp'!Print_Area</vt:lpstr>
      <vt:lpstr>'12-Qtrly CTAB Report'!Print_Area</vt:lpstr>
      <vt:lpstr>'3a-Admin Surcharges'!Print_Area</vt:lpstr>
      <vt:lpstr>'3b-RM Report Data'!Print_Area</vt:lpstr>
      <vt:lpstr>'3-Costs'!Print_Area</vt:lpstr>
      <vt:lpstr>'4a-CT NCDOT OpStats Form'!Print_Area</vt:lpstr>
      <vt:lpstr>'7-ADA Monthly Service Rpt ART'!Print_Area</vt:lpstr>
      <vt:lpstr>Miles!Print_Area</vt:lpstr>
      <vt:lpstr>'OpStatsTotals(DR)'!Print_Area</vt:lpstr>
      <vt:lpstr>'OpStatsTotals(MBTrailblazers)'!Print_Area</vt:lpstr>
      <vt:lpstr>'OpStatTotals(AllServices)'!Print_Area</vt:lpstr>
      <vt:lpstr>ServiceAssessment!Print_Area</vt:lpstr>
      <vt:lpstr>SystemOverview!Print_Area</vt:lpstr>
      <vt:lpstr>TripComparisons!Print_Area</vt:lpstr>
      <vt:lpstr>Trips!Print_Area</vt:lpstr>
      <vt:lpstr>'3a-Admin Surcharges'!Print_Titles</vt:lpstr>
      <vt:lpstr>'3b-RM Report Data'!Print_Titles</vt:lpstr>
      <vt:lpstr>'3-Costs'!Print_Titles</vt:lpstr>
      <vt:lpstr>Miles!Print_Titles</vt:lpstr>
      <vt:lpstr>'OpStatsTotals(DR)'!Print_Titles</vt:lpstr>
      <vt:lpstr>'OpStatsTotals(MBTrailblazers)'!Print_Titles</vt:lpstr>
      <vt:lpstr>'OpStatTotals(AllServices)'!Print_Titles</vt:lpstr>
      <vt:lpstr>Trips!Print_Titles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Geri Ballew</dc:creator>
  <cp:lastModifiedBy>Ron Venturella</cp:lastModifiedBy>
  <cp:lastPrinted>2020-01-14T15:58:01Z</cp:lastPrinted>
  <dcterms:created xsi:type="dcterms:W3CDTF">1998-02-13T02:57:21Z</dcterms:created>
  <dcterms:modified xsi:type="dcterms:W3CDTF">2020-03-13T15:53:28Z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0x01010097A3715BA9A7264C95CBCCE1F6F41FB7</vt:lpwstr>
  </property>
</Properties>
</file>